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4.xml" ContentType="application/vnd.openxmlformats-officedocument.drawing+xml"/>
  <Override PartName="/xl/ctrlProps/ctrlProp2.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Projects\Starbucks\MANAGEMENT\project documents\management documents\"/>
    </mc:Choice>
  </mc:AlternateContent>
  <bookViews>
    <workbookView xWindow="0" yWindow="0" windowWidth="20490" windowHeight="7755" tabRatio="753" firstSheet="1" activeTab="8"/>
  </bookViews>
  <sheets>
    <sheet name="Introduction" sheetId="14" state="hidden" r:id="rId1"/>
    <sheet name="Project Plan" sheetId="12" r:id="rId2"/>
    <sheet name="SME Team Members" sheetId="2" r:id="rId3"/>
    <sheet name="Decision Log" sheetId="4" r:id="rId4"/>
    <sheet name="Question Log" sheetId="6" state="hidden" r:id="rId5"/>
    <sheet name="Risk Log" sheetId="5" r:id="rId6"/>
    <sheet name="Storyboard Schedule" sheetId="7" state="hidden" r:id="rId7"/>
    <sheet name="OJT Schedule" sheetId="8" r:id="rId8"/>
    <sheet name="Link" sheetId="19" r:id="rId9"/>
    <sheet name="SAMPLE-Calendar" sheetId="17" state="hidden" r:id="rId10"/>
    <sheet name="Calendar" sheetId="16" state="hidden" r:id="rId11"/>
    <sheet name="SAMPLE- module specific" sheetId="9" state="hidden" r:id="rId12"/>
    <sheet name="Sheet1" sheetId="18" state="hidden" r:id="rId13"/>
    <sheet name="Edit List" sheetId="11" state="hidden" r:id="rId14"/>
    <sheet name="TEST" sheetId="15" state="hidden" r:id="rId15"/>
    <sheet name="Links" sheetId="3" state="hidden" r:id="rId16"/>
  </sheets>
  <definedNames>
    <definedName name="aa">'Storyboard Schedule'!$K$4</definedName>
    <definedName name="AprSun1" localSheetId="9">DATEVALUE("4/1/"&amp;'SAMPLE-Calendar'!$A$1)-WEEKDAY(DATEVALUE("4/1/"&amp;'SAMPLE-Calendar'!$A$1))+1</definedName>
    <definedName name="AprSun1">DATEVALUE("4/1/"&amp;Calendar!$A$1)-WEEKDAY(DATEVALUE("4/1/"&amp;Calendar!$A$1))+1</definedName>
    <definedName name="AugSun1" localSheetId="9">DATEVALUE("8/1/"&amp;'SAMPLE-Calendar'!$A$1)-WEEKDAY(DATEVALUE("8/1/"&amp;'SAMPLE-Calendar'!$A$1))+1</definedName>
    <definedName name="AugSun1">DATEVALUE("8/1/"&amp;Calendar!$A$1)-WEEKDAY(DATEVALUE("8/1/"&amp;Calendar!$A$1))+1</definedName>
    <definedName name="DecSun1" localSheetId="9">DATEVALUE("12/1/"&amp;'SAMPLE-Calendar'!$A$1)-WEEKDAY(DATEVALUE("12/1/"&amp;'SAMPLE-Calendar'!$A$1))+1</definedName>
    <definedName name="DecSun1">DATEVALUE("12/1/"&amp;Calendar!$A$1)-WEEKDAY(DATEVALUE("12/1/"&amp;Calendar!$A$1))+1</definedName>
    <definedName name="FebSun1" localSheetId="9">DATEVALUE("2/1/"&amp;'SAMPLE-Calendar'!$A$1)-WEEKDAY(DATEVALUE("2/1/"&amp;'SAMPLE-Calendar'!$A$1))+1</definedName>
    <definedName name="FebSun1">DATEVALUE("2/1/"&amp;Calendar!$A$1)-WEEKDAY(DATEVALUE("2/1/"&amp;Calendar!$A$1))+1</definedName>
    <definedName name="JanSun1" localSheetId="9">DATEVALUE("1/1/"&amp;'SAMPLE-Calendar'!$A$1)-WEEKDAY(DATEVALUE("1/1/"&amp;'SAMPLE-Calendar'!$A$1))+1</definedName>
    <definedName name="JanSun1">DATEVALUE("1/1/"&amp;Calendar!$A$1)-WEEKDAY(DATEVALUE("1/1/"&amp;Calendar!$A$1))+1</definedName>
    <definedName name="JulSun1" localSheetId="9">DATEVALUE("7/1/"&amp;'SAMPLE-Calendar'!$A$1)-WEEKDAY(DATEVALUE("7/1/"&amp;'SAMPLE-Calendar'!$A$1))+1</definedName>
    <definedName name="JulSun1">DATEVALUE("7/1/"&amp;Calendar!$A$1)-WEEKDAY(DATEVALUE("7/1/"&amp;Calendar!$A$1))+1</definedName>
    <definedName name="JunSun1" localSheetId="9">DATEVALUE("6/1/"&amp;'SAMPLE-Calendar'!$A$1)-WEEKDAY(DATEVALUE("6/1/"&amp;'SAMPLE-Calendar'!$A$1))+1</definedName>
    <definedName name="JunSun1">DATEVALUE("6/1/"&amp;Calendar!$A$1)-WEEKDAY(DATEVALUE("6/1/"&amp;Calendar!$A$1))+1</definedName>
    <definedName name="MarSun1" localSheetId="9">DATEVALUE("3/1/"&amp;'SAMPLE-Calendar'!$A$1)-WEEKDAY(DATEVALUE("3/1/"&amp;'SAMPLE-Calendar'!$A$1))+1</definedName>
    <definedName name="MarSun1">DATEVALUE("3/1/"&amp;Calendar!$A$1)-WEEKDAY(DATEVALUE("3/1/"&amp;Calendar!$A$1))+1</definedName>
    <definedName name="MaySun1" localSheetId="9">DATEVALUE("5/1/"&amp;'SAMPLE-Calendar'!$A$1)-WEEKDAY(DATEVALUE("5/1/"&amp;'SAMPLE-Calendar'!$A$1))+1</definedName>
    <definedName name="MaySun1">DATEVALUE("5/1/"&amp;Calendar!$A$1)-WEEKDAY(DATEVALUE("5/1/"&amp;Calendar!$A$1))+1</definedName>
    <definedName name="NovSun1" localSheetId="9">DATEVALUE("11/1/"&amp;'SAMPLE-Calendar'!$A$1)-WEEKDAY(DATEVALUE("11/1/"&amp;'SAMPLE-Calendar'!$A$1))+1</definedName>
    <definedName name="NovSun1">DATEVALUE("11/1/"&amp;Calendar!$A$1)-WEEKDAY(DATEVALUE("11/1/"&amp;Calendar!$A$1))+1</definedName>
    <definedName name="OctSun1" localSheetId="9">DATEVALUE("10/1/"&amp;'SAMPLE-Calendar'!$A$1)-WEEKDAY(DATEVALUE("10/1/"&amp;'SAMPLE-Calendar'!$A$1))+1</definedName>
    <definedName name="OctSun1">DATEVALUE("10/1/"&amp;Calendar!$A$1)-WEEKDAY(DATEVALUE("10/1/"&amp;Calendar!$A$1))+1</definedName>
    <definedName name="_xlnm.Print_Area" localSheetId="10">Calendar!$C$1:$AG$28</definedName>
    <definedName name="_xlnm.Print_Area" localSheetId="9">'SAMPLE-Calendar'!$C$1:$AG$28</definedName>
    <definedName name="_xlnm.Print_Titles" localSheetId="3">'Decision Log'!$1:$3</definedName>
    <definedName name="_xlnm.Print_Titles" localSheetId="13">'Edit List'!$1:$3</definedName>
    <definedName name="_xlnm.Print_Titles" localSheetId="7">'OJT Schedule'!$1:$3</definedName>
    <definedName name="_xlnm.Print_Titles" localSheetId="1">'Project Plan'!$1:$3</definedName>
    <definedName name="_xlnm.Print_Titles" localSheetId="4">'Question Log'!$1:$3</definedName>
    <definedName name="_xlnm.Print_Titles" localSheetId="5">'Risk Log'!$1:$3</definedName>
    <definedName name="_xlnm.Print_Titles" localSheetId="11">'SAMPLE- module specific'!$1:$3</definedName>
    <definedName name="_xlnm.Print_Titles" localSheetId="2">'SME Team Members'!$1:$3</definedName>
    <definedName name="_xlnm.Print_Titles" localSheetId="6">'Storyboard Schedule'!$1:$3</definedName>
    <definedName name="SepSun1" localSheetId="9">DATEVALUE("9/1/"&amp;'SAMPLE-Calendar'!$A$1)-WEEKDAY(DATEVALUE("9/1/"&amp;'SAMPLE-Calendar'!$A$1))+1</definedName>
    <definedName name="SepSun1">DATEVALUE("9/1/"&amp;Calendar!$A$1)-WEEKDAY(DATEVALUE("9/1/"&amp;Calendar!$A$1))+1</definedName>
    <definedName name="StatusDropDown">'Storyboard Schedule'!$AA$4:$AA$8</definedName>
  </definedNames>
  <calcPr calcId="152511"/>
  <customWorkbookViews>
    <customWorkbookView name="IntroPageView" guid="{79CFC90F-9797-4F95-B835-584B9BD0A801}" includePrintSettings="0" includeHiddenRowCol="0" maximized="1" windowWidth="1276" windowHeight="603" tabRatio="753" activeSheetId="14" showFormulaBar="0"/>
  </customWorkbookViews>
</workbook>
</file>

<file path=xl/calcChain.xml><?xml version="1.0" encoding="utf-8"?>
<calcChain xmlns="http://schemas.openxmlformats.org/spreadsheetml/2006/main">
  <c r="B7" i="5" l="1"/>
  <c r="AB23" i="17" l="1"/>
  <c r="AC22" i="17"/>
  <c r="AA5" i="17"/>
  <c r="M7" i="17"/>
  <c r="O7" i="17"/>
  <c r="AA16" i="17"/>
  <c r="AG27" i="17" l="1"/>
  <c r="AF27" i="17"/>
  <c r="AE27" i="17"/>
  <c r="AD27" i="17"/>
  <c r="AC27" i="17"/>
  <c r="AB27" i="17"/>
  <c r="AA27" i="17"/>
  <c r="Y27" i="17"/>
  <c r="X27" i="17"/>
  <c r="W27" i="17"/>
  <c r="V27" i="17"/>
  <c r="U27" i="17"/>
  <c r="T27" i="17"/>
  <c r="S27" i="17"/>
  <c r="Q27" i="17"/>
  <c r="P27" i="17"/>
  <c r="O27" i="17"/>
  <c r="N27" i="17"/>
  <c r="M27" i="17"/>
  <c r="L27" i="17"/>
  <c r="K27" i="17"/>
  <c r="I27" i="17"/>
  <c r="H27" i="17"/>
  <c r="G27" i="17"/>
  <c r="F27" i="17"/>
  <c r="E27" i="17"/>
  <c r="D27" i="17"/>
  <c r="C27" i="17"/>
  <c r="AG26" i="17"/>
  <c r="AF26" i="17"/>
  <c r="AE26" i="17"/>
  <c r="AD26" i="17"/>
  <c r="AC26" i="17"/>
  <c r="AB26" i="17"/>
  <c r="AA26" i="17"/>
  <c r="Y26" i="17"/>
  <c r="X26" i="17"/>
  <c r="W26" i="17"/>
  <c r="V26" i="17"/>
  <c r="U26" i="17"/>
  <c r="T26" i="17"/>
  <c r="S26" i="17"/>
  <c r="Q26" i="17"/>
  <c r="P26" i="17"/>
  <c r="O26" i="17"/>
  <c r="N26" i="17"/>
  <c r="M26" i="17"/>
  <c r="L26" i="17"/>
  <c r="K26" i="17"/>
  <c r="I26" i="17"/>
  <c r="H26" i="17"/>
  <c r="G26" i="17"/>
  <c r="F26" i="17"/>
  <c r="E26" i="17"/>
  <c r="D26" i="17"/>
  <c r="C26" i="17"/>
  <c r="AG25" i="17"/>
  <c r="AF25" i="17"/>
  <c r="AE25" i="17"/>
  <c r="AD25" i="17"/>
  <c r="AC25" i="17"/>
  <c r="AB25" i="17"/>
  <c r="AA25" i="17"/>
  <c r="Y25" i="17"/>
  <c r="X25" i="17"/>
  <c r="W25" i="17"/>
  <c r="V25" i="17"/>
  <c r="U25" i="17"/>
  <c r="T25" i="17"/>
  <c r="S25" i="17"/>
  <c r="Q25" i="17"/>
  <c r="P25" i="17"/>
  <c r="O25" i="17"/>
  <c r="N25" i="17"/>
  <c r="M25" i="17"/>
  <c r="L25" i="17"/>
  <c r="K25" i="17"/>
  <c r="I25" i="17"/>
  <c r="H25" i="17"/>
  <c r="G25" i="17"/>
  <c r="F25" i="17"/>
  <c r="E25" i="17"/>
  <c r="D25" i="17"/>
  <c r="C25" i="17"/>
  <c r="AG24" i="17"/>
  <c r="AF24" i="17"/>
  <c r="AE24" i="17"/>
  <c r="AD24" i="17"/>
  <c r="AC24" i="17"/>
  <c r="AB24" i="17"/>
  <c r="AA24" i="17"/>
  <c r="Y24" i="17"/>
  <c r="X24" i="17"/>
  <c r="W24" i="17"/>
  <c r="V24" i="17"/>
  <c r="U24" i="17"/>
  <c r="T24" i="17"/>
  <c r="S24" i="17"/>
  <c r="Q24" i="17"/>
  <c r="P24" i="17"/>
  <c r="O24" i="17"/>
  <c r="N24" i="17"/>
  <c r="M24" i="17"/>
  <c r="L24" i="17"/>
  <c r="K24" i="17"/>
  <c r="I24" i="17"/>
  <c r="H24" i="17"/>
  <c r="G24" i="17"/>
  <c r="F24" i="17"/>
  <c r="E24" i="17"/>
  <c r="D24" i="17"/>
  <c r="C24" i="17"/>
  <c r="AG23" i="17"/>
  <c r="AF23" i="17"/>
  <c r="AE23" i="17"/>
  <c r="AD23" i="17"/>
  <c r="AC23" i="17"/>
  <c r="AA23" i="17"/>
  <c r="Y23" i="17"/>
  <c r="X23" i="17"/>
  <c r="W23" i="17"/>
  <c r="V23" i="17"/>
  <c r="U23" i="17"/>
  <c r="T23" i="17"/>
  <c r="S23" i="17"/>
  <c r="Q23" i="17"/>
  <c r="P23" i="17"/>
  <c r="O23" i="17"/>
  <c r="N23" i="17"/>
  <c r="M23" i="17"/>
  <c r="L23" i="17"/>
  <c r="K23" i="17"/>
  <c r="I23" i="17"/>
  <c r="H23" i="17"/>
  <c r="G23" i="17"/>
  <c r="F23" i="17"/>
  <c r="E23" i="17"/>
  <c r="D23" i="17"/>
  <c r="C23" i="17"/>
  <c r="AG22" i="17"/>
  <c r="AF22" i="17"/>
  <c r="AE22" i="17"/>
  <c r="AD22" i="17"/>
  <c r="AB22" i="17"/>
  <c r="AA22" i="17"/>
  <c r="Y22" i="17"/>
  <c r="X22" i="17"/>
  <c r="W22" i="17"/>
  <c r="V22" i="17"/>
  <c r="U22" i="17"/>
  <c r="T22" i="17"/>
  <c r="S22" i="17"/>
  <c r="Q22" i="17"/>
  <c r="P22" i="17"/>
  <c r="O22" i="17"/>
  <c r="N22" i="17"/>
  <c r="M22" i="17"/>
  <c r="L22" i="17"/>
  <c r="K22" i="17"/>
  <c r="I22" i="17"/>
  <c r="H22" i="17"/>
  <c r="G22" i="17"/>
  <c r="F22" i="17"/>
  <c r="E22" i="17"/>
  <c r="D22" i="17"/>
  <c r="C22" i="17"/>
  <c r="AG18" i="17"/>
  <c r="AF18" i="17"/>
  <c r="AE18" i="17"/>
  <c r="AD18" i="17"/>
  <c r="AC18" i="17"/>
  <c r="AB18" i="17"/>
  <c r="AA18" i="17"/>
  <c r="Y18" i="17"/>
  <c r="X18" i="17"/>
  <c r="W18" i="17"/>
  <c r="V18" i="17"/>
  <c r="U18" i="17"/>
  <c r="T18" i="17"/>
  <c r="S18" i="17"/>
  <c r="Q18" i="17"/>
  <c r="P18" i="17"/>
  <c r="O18" i="17"/>
  <c r="N18" i="17"/>
  <c r="M18" i="17"/>
  <c r="L18" i="17"/>
  <c r="K18" i="17"/>
  <c r="I18" i="17"/>
  <c r="H18" i="17"/>
  <c r="G18" i="17"/>
  <c r="F18" i="17"/>
  <c r="E18" i="17"/>
  <c r="D18" i="17"/>
  <c r="C18" i="17"/>
  <c r="AG17" i="17"/>
  <c r="AF17" i="17"/>
  <c r="AE17" i="17"/>
  <c r="AD17" i="17"/>
  <c r="AC17" i="17"/>
  <c r="AB17" i="17"/>
  <c r="AA17" i="17"/>
  <c r="Y17" i="17"/>
  <c r="X17" i="17"/>
  <c r="W17" i="17"/>
  <c r="V17" i="17"/>
  <c r="U17" i="17"/>
  <c r="T17" i="17"/>
  <c r="S17" i="17"/>
  <c r="Q17" i="17"/>
  <c r="P17" i="17"/>
  <c r="O17" i="17"/>
  <c r="N17" i="17"/>
  <c r="M17" i="17"/>
  <c r="L17" i="17"/>
  <c r="K17" i="17"/>
  <c r="I17" i="17"/>
  <c r="H17" i="17"/>
  <c r="G17" i="17"/>
  <c r="F17" i="17"/>
  <c r="E17" i="17"/>
  <c r="D17" i="17"/>
  <c r="C17" i="17"/>
  <c r="AG16" i="17"/>
  <c r="AF16" i="17"/>
  <c r="AE16" i="17"/>
  <c r="AD16" i="17"/>
  <c r="AC16" i="17"/>
  <c r="AB16" i="17"/>
  <c r="Y16" i="17"/>
  <c r="X16" i="17"/>
  <c r="W16" i="17"/>
  <c r="V16" i="17"/>
  <c r="U16" i="17"/>
  <c r="T16" i="17"/>
  <c r="S16" i="17"/>
  <c r="Q16" i="17"/>
  <c r="P16" i="17"/>
  <c r="O16" i="17"/>
  <c r="N16" i="17"/>
  <c r="M16" i="17"/>
  <c r="L16" i="17"/>
  <c r="K16" i="17"/>
  <c r="I16" i="17"/>
  <c r="H16" i="17"/>
  <c r="G16" i="17"/>
  <c r="F16" i="17"/>
  <c r="E16" i="17"/>
  <c r="D16" i="17"/>
  <c r="C16" i="17"/>
  <c r="AG15" i="17"/>
  <c r="AF15" i="17"/>
  <c r="AE15" i="17"/>
  <c r="AD15" i="17"/>
  <c r="AC15" i="17"/>
  <c r="AB15" i="17"/>
  <c r="AA15" i="17"/>
  <c r="Y15" i="17"/>
  <c r="X15" i="17"/>
  <c r="W15" i="17"/>
  <c r="V15" i="17"/>
  <c r="U15" i="17"/>
  <c r="T15" i="17"/>
  <c r="S15" i="17"/>
  <c r="Q15" i="17"/>
  <c r="P15" i="17"/>
  <c r="O15" i="17"/>
  <c r="N15" i="17"/>
  <c r="M15" i="17"/>
  <c r="L15" i="17"/>
  <c r="K15" i="17"/>
  <c r="I15" i="17"/>
  <c r="H15" i="17"/>
  <c r="G15" i="17"/>
  <c r="F15" i="17"/>
  <c r="E15" i="17"/>
  <c r="D15" i="17"/>
  <c r="C15" i="17"/>
  <c r="AG14" i="17"/>
  <c r="AF14" i="17"/>
  <c r="AE14" i="17"/>
  <c r="AD14" i="17"/>
  <c r="AC14" i="17"/>
  <c r="AB14" i="17"/>
  <c r="AA14" i="17"/>
  <c r="Y14" i="17"/>
  <c r="X14" i="17"/>
  <c r="W14" i="17"/>
  <c r="V14" i="17"/>
  <c r="U14" i="17"/>
  <c r="T14" i="17"/>
  <c r="S14" i="17"/>
  <c r="Q14" i="17"/>
  <c r="P14" i="17"/>
  <c r="O14" i="17"/>
  <c r="N14" i="17"/>
  <c r="M14" i="17"/>
  <c r="L14" i="17"/>
  <c r="K14" i="17"/>
  <c r="I14" i="17"/>
  <c r="H14" i="17"/>
  <c r="G14" i="17"/>
  <c r="F14" i="17"/>
  <c r="E14" i="17"/>
  <c r="D14" i="17"/>
  <c r="C14" i="17"/>
  <c r="AG13" i="17"/>
  <c r="AF13" i="17"/>
  <c r="AE13" i="17"/>
  <c r="AD13" i="17"/>
  <c r="AC13" i="17"/>
  <c r="AB13" i="17"/>
  <c r="AA13" i="17"/>
  <c r="Y13" i="17"/>
  <c r="X13" i="17"/>
  <c r="W13" i="17"/>
  <c r="V13" i="17"/>
  <c r="U13" i="17"/>
  <c r="T13" i="17"/>
  <c r="S13" i="17"/>
  <c r="Q13" i="17"/>
  <c r="P13" i="17"/>
  <c r="O13" i="17"/>
  <c r="N13" i="17"/>
  <c r="M13" i="17"/>
  <c r="L13" i="17"/>
  <c r="K13" i="17"/>
  <c r="I13" i="17"/>
  <c r="H13" i="17"/>
  <c r="G13" i="17"/>
  <c r="F13" i="17"/>
  <c r="E13" i="17"/>
  <c r="D13" i="17"/>
  <c r="C13" i="17"/>
  <c r="AG9" i="17"/>
  <c r="AF9" i="17"/>
  <c r="AE9" i="17"/>
  <c r="AD9" i="17"/>
  <c r="AC9" i="17"/>
  <c r="AB9" i="17"/>
  <c r="AA9" i="17"/>
  <c r="Y9" i="17"/>
  <c r="X9" i="17"/>
  <c r="W9" i="17"/>
  <c r="V9" i="17"/>
  <c r="U9" i="17"/>
  <c r="T9" i="17"/>
  <c r="S9" i="17"/>
  <c r="Q9" i="17"/>
  <c r="P9" i="17"/>
  <c r="O9" i="17"/>
  <c r="N9" i="17"/>
  <c r="M9" i="17"/>
  <c r="L9" i="17"/>
  <c r="K9" i="17"/>
  <c r="I9" i="17"/>
  <c r="H9" i="17"/>
  <c r="G9" i="17"/>
  <c r="F9" i="17"/>
  <c r="E9" i="17"/>
  <c r="D9" i="17"/>
  <c r="C9" i="17"/>
  <c r="AG8" i="17"/>
  <c r="AF8" i="17"/>
  <c r="AE8" i="17"/>
  <c r="AD8" i="17"/>
  <c r="AC8" i="17"/>
  <c r="AB8" i="17"/>
  <c r="AA8" i="17"/>
  <c r="Y8" i="17"/>
  <c r="X8" i="17"/>
  <c r="W8" i="17"/>
  <c r="V8" i="17"/>
  <c r="U8" i="17"/>
  <c r="T8" i="17"/>
  <c r="S8" i="17"/>
  <c r="Q8" i="17"/>
  <c r="P8" i="17"/>
  <c r="O8" i="17"/>
  <c r="N8" i="17"/>
  <c r="M8" i="17"/>
  <c r="L8" i="17"/>
  <c r="K8" i="17"/>
  <c r="I8" i="17"/>
  <c r="H8" i="17"/>
  <c r="G8" i="17"/>
  <c r="F8" i="17"/>
  <c r="E8" i="17"/>
  <c r="D8" i="17"/>
  <c r="C8" i="17"/>
  <c r="AG7" i="17"/>
  <c r="AF7" i="17"/>
  <c r="AE7" i="17"/>
  <c r="AD7" i="17"/>
  <c r="AC7" i="17"/>
  <c r="AB7" i="17"/>
  <c r="AA7" i="17"/>
  <c r="Y7" i="17"/>
  <c r="X7" i="17"/>
  <c r="W7" i="17"/>
  <c r="V7" i="17"/>
  <c r="U7" i="17"/>
  <c r="T7" i="17"/>
  <c r="S7" i="17"/>
  <c r="Q7" i="17"/>
  <c r="P7" i="17"/>
  <c r="N7" i="17"/>
  <c r="L7" i="17"/>
  <c r="K7" i="17"/>
  <c r="I7" i="17"/>
  <c r="H7" i="17"/>
  <c r="G7" i="17"/>
  <c r="F7" i="17"/>
  <c r="E7" i="17"/>
  <c r="D7" i="17"/>
  <c r="C7" i="17"/>
  <c r="AG6" i="17"/>
  <c r="AF6" i="17"/>
  <c r="AE6" i="17"/>
  <c r="AD6" i="17"/>
  <c r="AC6" i="17"/>
  <c r="AB6" i="17"/>
  <c r="AA6" i="17"/>
  <c r="Y6" i="17"/>
  <c r="X6" i="17"/>
  <c r="W6" i="17"/>
  <c r="V6" i="17"/>
  <c r="U6" i="17"/>
  <c r="T6" i="17"/>
  <c r="S6" i="17"/>
  <c r="Q6" i="17"/>
  <c r="P6" i="17"/>
  <c r="O6" i="17"/>
  <c r="N6" i="17"/>
  <c r="M6" i="17"/>
  <c r="L6" i="17"/>
  <c r="K6" i="17"/>
  <c r="I6" i="17"/>
  <c r="H6" i="17"/>
  <c r="G6" i="17"/>
  <c r="F6" i="17"/>
  <c r="E6" i="17"/>
  <c r="D6" i="17"/>
  <c r="C6" i="17"/>
  <c r="AG5" i="17"/>
  <c r="AF5" i="17"/>
  <c r="AE5" i="17"/>
  <c r="AD5" i="17"/>
  <c r="AC5" i="17"/>
  <c r="AB5" i="17"/>
  <c r="Y5" i="17"/>
  <c r="X5" i="17"/>
  <c r="W5" i="17"/>
  <c r="V5" i="17"/>
  <c r="U5" i="17"/>
  <c r="T5" i="17"/>
  <c r="S5" i="17"/>
  <c r="Q5" i="17"/>
  <c r="P5" i="17"/>
  <c r="O5" i="17"/>
  <c r="N5" i="17"/>
  <c r="M5" i="17"/>
  <c r="L5" i="17"/>
  <c r="K5" i="17"/>
  <c r="I5" i="17"/>
  <c r="H5" i="17"/>
  <c r="G5" i="17"/>
  <c r="F5" i="17"/>
  <c r="E5" i="17"/>
  <c r="D5" i="17"/>
  <c r="C5" i="17"/>
  <c r="AG4" i="17"/>
  <c r="AF4" i="17"/>
  <c r="AE4" i="17"/>
  <c r="AD4" i="17"/>
  <c r="AC4" i="17"/>
  <c r="AB4" i="17"/>
  <c r="AA4" i="17"/>
  <c r="Y4" i="17"/>
  <c r="X4" i="17"/>
  <c r="W4" i="17"/>
  <c r="V4" i="17"/>
  <c r="U4" i="17"/>
  <c r="T4" i="17"/>
  <c r="S4" i="17"/>
  <c r="Q4" i="17"/>
  <c r="P4" i="17"/>
  <c r="O4" i="17"/>
  <c r="N4" i="17"/>
  <c r="M4" i="17"/>
  <c r="L4" i="17"/>
  <c r="K4" i="17"/>
  <c r="I4" i="17"/>
  <c r="H4" i="17"/>
  <c r="G4" i="17"/>
  <c r="F4" i="17"/>
  <c r="E4" i="17"/>
  <c r="D4" i="17"/>
  <c r="C4" i="17"/>
  <c r="AG27" i="16"/>
  <c r="AF27" i="16"/>
  <c r="AE27" i="16"/>
  <c r="AD27" i="16"/>
  <c r="AC27" i="16"/>
  <c r="AB27" i="16"/>
  <c r="AA27" i="16"/>
  <c r="Y27" i="16"/>
  <c r="X27" i="16"/>
  <c r="W27" i="16"/>
  <c r="V27" i="16"/>
  <c r="U27" i="16"/>
  <c r="T27" i="16"/>
  <c r="S27" i="16"/>
  <c r="Q27" i="16"/>
  <c r="P27" i="16"/>
  <c r="O27" i="16"/>
  <c r="N27" i="16"/>
  <c r="M27" i="16"/>
  <c r="L27" i="16"/>
  <c r="K27" i="16"/>
  <c r="I27" i="16"/>
  <c r="H27" i="16"/>
  <c r="G27" i="16"/>
  <c r="F27" i="16"/>
  <c r="E27" i="16"/>
  <c r="D27" i="16"/>
  <c r="C27" i="16"/>
  <c r="AG26" i="16"/>
  <c r="AF26" i="16"/>
  <c r="AE26" i="16"/>
  <c r="AD26" i="16"/>
  <c r="AC26" i="16"/>
  <c r="AB26" i="16"/>
  <c r="AA26" i="16"/>
  <c r="Y26" i="16"/>
  <c r="X26" i="16"/>
  <c r="W26" i="16"/>
  <c r="V26" i="16"/>
  <c r="U26" i="16"/>
  <c r="T26" i="16"/>
  <c r="S26" i="16"/>
  <c r="Q26" i="16"/>
  <c r="P26" i="16"/>
  <c r="O26" i="16"/>
  <c r="N26" i="16"/>
  <c r="M26" i="16"/>
  <c r="L26" i="16"/>
  <c r="K26" i="16"/>
  <c r="I26" i="16"/>
  <c r="H26" i="16"/>
  <c r="G26" i="16"/>
  <c r="F26" i="16"/>
  <c r="E26" i="16"/>
  <c r="D26" i="16"/>
  <c r="C26" i="16"/>
  <c r="AG25" i="16"/>
  <c r="AF25" i="16"/>
  <c r="AE25" i="16"/>
  <c r="AD25" i="16"/>
  <c r="AC25" i="16"/>
  <c r="AB25" i="16"/>
  <c r="AA25" i="16"/>
  <c r="Y25" i="16"/>
  <c r="X25" i="16"/>
  <c r="W25" i="16"/>
  <c r="V25" i="16"/>
  <c r="U25" i="16"/>
  <c r="T25" i="16"/>
  <c r="S25" i="16"/>
  <c r="Q25" i="16"/>
  <c r="P25" i="16"/>
  <c r="O25" i="16"/>
  <c r="N25" i="16"/>
  <c r="M25" i="16"/>
  <c r="L25" i="16"/>
  <c r="K25" i="16"/>
  <c r="I25" i="16"/>
  <c r="H25" i="16"/>
  <c r="G25" i="16"/>
  <c r="F25" i="16"/>
  <c r="E25" i="16"/>
  <c r="D25" i="16"/>
  <c r="C25" i="16"/>
  <c r="AG24" i="16"/>
  <c r="AF24" i="16"/>
  <c r="AE24" i="16"/>
  <c r="AD24" i="16"/>
  <c r="AC24" i="16"/>
  <c r="AB24" i="16"/>
  <c r="AA24" i="16"/>
  <c r="Y24" i="16"/>
  <c r="X24" i="16"/>
  <c r="W24" i="16"/>
  <c r="V24" i="16"/>
  <c r="U24" i="16"/>
  <c r="T24" i="16"/>
  <c r="S24" i="16"/>
  <c r="Q24" i="16"/>
  <c r="P24" i="16"/>
  <c r="O24" i="16"/>
  <c r="N24" i="16"/>
  <c r="M24" i="16"/>
  <c r="L24" i="16"/>
  <c r="K24" i="16"/>
  <c r="I24" i="16"/>
  <c r="H24" i="16"/>
  <c r="G24" i="16"/>
  <c r="F24" i="16"/>
  <c r="E24" i="16"/>
  <c r="D24" i="16"/>
  <c r="C24" i="16"/>
  <c r="AG23" i="16"/>
  <c r="AF23" i="16"/>
  <c r="AE23" i="16"/>
  <c r="AD23" i="16"/>
  <c r="AC23" i="16"/>
  <c r="AB23" i="16"/>
  <c r="AA23" i="16"/>
  <c r="Y23" i="16"/>
  <c r="X23" i="16"/>
  <c r="W23" i="16"/>
  <c r="V23" i="16"/>
  <c r="U23" i="16"/>
  <c r="T23" i="16"/>
  <c r="S23" i="16"/>
  <c r="Q23" i="16"/>
  <c r="P23" i="16"/>
  <c r="O23" i="16"/>
  <c r="N23" i="16"/>
  <c r="M23" i="16"/>
  <c r="L23" i="16"/>
  <c r="K23" i="16"/>
  <c r="I23" i="16"/>
  <c r="H23" i="16"/>
  <c r="G23" i="16"/>
  <c r="F23" i="16"/>
  <c r="E23" i="16"/>
  <c r="D23" i="16"/>
  <c r="C23" i="16"/>
  <c r="AG22" i="16"/>
  <c r="AF22" i="16"/>
  <c r="AE22" i="16"/>
  <c r="AD22" i="16"/>
  <c r="AC22" i="16"/>
  <c r="AB22" i="16"/>
  <c r="AA22" i="16"/>
  <c r="Y22" i="16"/>
  <c r="X22" i="16"/>
  <c r="W22" i="16"/>
  <c r="V22" i="16"/>
  <c r="U22" i="16"/>
  <c r="T22" i="16"/>
  <c r="S22" i="16"/>
  <c r="Q22" i="16"/>
  <c r="P22" i="16"/>
  <c r="O22" i="16"/>
  <c r="N22" i="16"/>
  <c r="M22" i="16"/>
  <c r="L22" i="16"/>
  <c r="K22" i="16"/>
  <c r="I22" i="16"/>
  <c r="H22" i="16"/>
  <c r="G22" i="16"/>
  <c r="F22" i="16"/>
  <c r="E22" i="16"/>
  <c r="D22" i="16"/>
  <c r="C22" i="16"/>
  <c r="AG18" i="16"/>
  <c r="AF18" i="16"/>
  <c r="AE18" i="16"/>
  <c r="AD18" i="16"/>
  <c r="AC18" i="16"/>
  <c r="AB18" i="16"/>
  <c r="AA18" i="16"/>
  <c r="Y18" i="16"/>
  <c r="X18" i="16"/>
  <c r="W18" i="16"/>
  <c r="V18" i="16"/>
  <c r="U18" i="16"/>
  <c r="T18" i="16"/>
  <c r="S18" i="16"/>
  <c r="Q18" i="16"/>
  <c r="P18" i="16"/>
  <c r="O18" i="16"/>
  <c r="N18" i="16"/>
  <c r="M18" i="16"/>
  <c r="L18" i="16"/>
  <c r="K18" i="16"/>
  <c r="I18" i="16"/>
  <c r="H18" i="16"/>
  <c r="G18" i="16"/>
  <c r="F18" i="16"/>
  <c r="E18" i="16"/>
  <c r="D18" i="16"/>
  <c r="C18" i="16"/>
  <c r="AG17" i="16"/>
  <c r="AF17" i="16"/>
  <c r="AE17" i="16"/>
  <c r="AD17" i="16"/>
  <c r="AC17" i="16"/>
  <c r="AB17" i="16"/>
  <c r="AA17" i="16"/>
  <c r="Y17" i="16"/>
  <c r="X17" i="16"/>
  <c r="W17" i="16"/>
  <c r="V17" i="16"/>
  <c r="U17" i="16"/>
  <c r="T17" i="16"/>
  <c r="S17" i="16"/>
  <c r="Q17" i="16"/>
  <c r="P17" i="16"/>
  <c r="O17" i="16"/>
  <c r="N17" i="16"/>
  <c r="M17" i="16"/>
  <c r="L17" i="16"/>
  <c r="K17" i="16"/>
  <c r="I17" i="16"/>
  <c r="H17" i="16"/>
  <c r="G17" i="16"/>
  <c r="F17" i="16"/>
  <c r="E17" i="16"/>
  <c r="D17" i="16"/>
  <c r="C17" i="16"/>
  <c r="AG16" i="16"/>
  <c r="AF16" i="16"/>
  <c r="AE16" i="16"/>
  <c r="AD16" i="16"/>
  <c r="AC16" i="16"/>
  <c r="AB16" i="16"/>
  <c r="AA16" i="16"/>
  <c r="Y16" i="16"/>
  <c r="X16" i="16"/>
  <c r="W16" i="16"/>
  <c r="V16" i="16"/>
  <c r="U16" i="16"/>
  <c r="T16" i="16"/>
  <c r="S16" i="16"/>
  <c r="Q16" i="16"/>
  <c r="P16" i="16"/>
  <c r="O16" i="16"/>
  <c r="N16" i="16"/>
  <c r="M16" i="16"/>
  <c r="L16" i="16"/>
  <c r="K16" i="16"/>
  <c r="I16" i="16"/>
  <c r="H16" i="16"/>
  <c r="G16" i="16"/>
  <c r="F16" i="16"/>
  <c r="E16" i="16"/>
  <c r="D16" i="16"/>
  <c r="C16" i="16"/>
  <c r="AG15" i="16"/>
  <c r="AF15" i="16"/>
  <c r="AE15" i="16"/>
  <c r="AD15" i="16"/>
  <c r="AC15" i="16"/>
  <c r="AB15" i="16"/>
  <c r="AA15" i="16"/>
  <c r="Y15" i="16"/>
  <c r="X15" i="16"/>
  <c r="W15" i="16"/>
  <c r="V15" i="16"/>
  <c r="U15" i="16"/>
  <c r="T15" i="16"/>
  <c r="S15" i="16"/>
  <c r="Q15" i="16"/>
  <c r="P15" i="16"/>
  <c r="O15" i="16"/>
  <c r="N15" i="16"/>
  <c r="M15" i="16"/>
  <c r="L15" i="16"/>
  <c r="K15" i="16"/>
  <c r="I15" i="16"/>
  <c r="H15" i="16"/>
  <c r="G15" i="16"/>
  <c r="F15" i="16"/>
  <c r="E15" i="16"/>
  <c r="D15" i="16"/>
  <c r="C15" i="16"/>
  <c r="AG14" i="16"/>
  <c r="AF14" i="16"/>
  <c r="AE14" i="16"/>
  <c r="AD14" i="16"/>
  <c r="AC14" i="16"/>
  <c r="AB14" i="16"/>
  <c r="AA14" i="16"/>
  <c r="Y14" i="16"/>
  <c r="X14" i="16"/>
  <c r="W14" i="16"/>
  <c r="V14" i="16"/>
  <c r="U14" i="16"/>
  <c r="T14" i="16"/>
  <c r="S14" i="16"/>
  <c r="Q14" i="16"/>
  <c r="P14" i="16"/>
  <c r="O14" i="16"/>
  <c r="N14" i="16"/>
  <c r="M14" i="16"/>
  <c r="L14" i="16"/>
  <c r="K14" i="16"/>
  <c r="I14" i="16"/>
  <c r="H14" i="16"/>
  <c r="G14" i="16"/>
  <c r="F14" i="16"/>
  <c r="E14" i="16"/>
  <c r="D14" i="16"/>
  <c r="C14" i="16"/>
  <c r="AG13" i="16"/>
  <c r="AF13" i="16"/>
  <c r="AE13" i="16"/>
  <c r="AD13" i="16"/>
  <c r="AC13" i="16"/>
  <c r="AB13" i="16"/>
  <c r="AA13" i="16"/>
  <c r="Y13" i="16"/>
  <c r="X13" i="16"/>
  <c r="W13" i="16"/>
  <c r="V13" i="16"/>
  <c r="U13" i="16"/>
  <c r="T13" i="16"/>
  <c r="S13" i="16"/>
  <c r="Q13" i="16"/>
  <c r="P13" i="16"/>
  <c r="O13" i="16"/>
  <c r="N13" i="16"/>
  <c r="M13" i="16"/>
  <c r="L13" i="16"/>
  <c r="K13" i="16"/>
  <c r="I13" i="16"/>
  <c r="H13" i="16"/>
  <c r="G13" i="16"/>
  <c r="F13" i="16"/>
  <c r="E13" i="16"/>
  <c r="D13" i="16"/>
  <c r="C13" i="16"/>
  <c r="AG9" i="16"/>
  <c r="AF9" i="16"/>
  <c r="AE9" i="16"/>
  <c r="AD9" i="16"/>
  <c r="AC9" i="16"/>
  <c r="AB9" i="16"/>
  <c r="AA9" i="16"/>
  <c r="Y9" i="16"/>
  <c r="X9" i="16"/>
  <c r="W9" i="16"/>
  <c r="V9" i="16"/>
  <c r="U9" i="16"/>
  <c r="T9" i="16"/>
  <c r="S9" i="16"/>
  <c r="Q9" i="16"/>
  <c r="P9" i="16"/>
  <c r="O9" i="16"/>
  <c r="N9" i="16"/>
  <c r="M9" i="16"/>
  <c r="L9" i="16"/>
  <c r="K9" i="16"/>
  <c r="I9" i="16"/>
  <c r="H9" i="16"/>
  <c r="G9" i="16"/>
  <c r="F9" i="16"/>
  <c r="E9" i="16"/>
  <c r="D9" i="16"/>
  <c r="C9" i="16"/>
  <c r="AG8" i="16"/>
  <c r="AF8" i="16"/>
  <c r="AE8" i="16"/>
  <c r="AD8" i="16"/>
  <c r="AC8" i="16"/>
  <c r="AB8" i="16"/>
  <c r="AA8" i="16"/>
  <c r="Y8" i="16"/>
  <c r="X8" i="16"/>
  <c r="W8" i="16"/>
  <c r="V8" i="16"/>
  <c r="U8" i="16"/>
  <c r="T8" i="16"/>
  <c r="S8" i="16"/>
  <c r="Q8" i="16"/>
  <c r="P8" i="16"/>
  <c r="O8" i="16"/>
  <c r="N8" i="16"/>
  <c r="M8" i="16"/>
  <c r="L8" i="16"/>
  <c r="K8" i="16"/>
  <c r="I8" i="16"/>
  <c r="H8" i="16"/>
  <c r="G8" i="16"/>
  <c r="F8" i="16"/>
  <c r="E8" i="16"/>
  <c r="D8" i="16"/>
  <c r="C8" i="16"/>
  <c r="AG7" i="16"/>
  <c r="AF7" i="16"/>
  <c r="AE7" i="16"/>
  <c r="AD7" i="16"/>
  <c r="AC7" i="16"/>
  <c r="AB7" i="16"/>
  <c r="AA7" i="16"/>
  <c r="Y7" i="16"/>
  <c r="X7" i="16"/>
  <c r="W7" i="16"/>
  <c r="V7" i="16"/>
  <c r="U7" i="16"/>
  <c r="T7" i="16"/>
  <c r="S7" i="16"/>
  <c r="Q7" i="16"/>
  <c r="P7" i="16"/>
  <c r="O7" i="16"/>
  <c r="N7" i="16"/>
  <c r="M7" i="16"/>
  <c r="L7" i="16"/>
  <c r="K7" i="16"/>
  <c r="I7" i="16"/>
  <c r="H7" i="16"/>
  <c r="G7" i="16"/>
  <c r="F7" i="16"/>
  <c r="E7" i="16"/>
  <c r="D7" i="16"/>
  <c r="C7" i="16"/>
  <c r="AG6" i="16"/>
  <c r="AF6" i="16"/>
  <c r="AE6" i="16"/>
  <c r="AD6" i="16"/>
  <c r="AC6" i="16"/>
  <c r="AB6" i="16"/>
  <c r="AA6" i="16"/>
  <c r="Y6" i="16"/>
  <c r="X6" i="16"/>
  <c r="W6" i="16"/>
  <c r="V6" i="16"/>
  <c r="U6" i="16"/>
  <c r="T6" i="16"/>
  <c r="S6" i="16"/>
  <c r="Q6" i="16"/>
  <c r="P6" i="16"/>
  <c r="O6" i="16"/>
  <c r="N6" i="16"/>
  <c r="M6" i="16"/>
  <c r="L6" i="16"/>
  <c r="K6" i="16"/>
  <c r="I6" i="16"/>
  <c r="H6" i="16"/>
  <c r="G6" i="16"/>
  <c r="F6" i="16"/>
  <c r="E6" i="16"/>
  <c r="D6" i="16"/>
  <c r="C6" i="16"/>
  <c r="AG5" i="16"/>
  <c r="AF5" i="16"/>
  <c r="AE5" i="16"/>
  <c r="AD5" i="16"/>
  <c r="AC5" i="16"/>
  <c r="AB5" i="16"/>
  <c r="AA5" i="16"/>
  <c r="Y5" i="16"/>
  <c r="X5" i="16"/>
  <c r="W5" i="16"/>
  <c r="V5" i="16"/>
  <c r="U5" i="16"/>
  <c r="T5" i="16"/>
  <c r="S5" i="16"/>
  <c r="Q5" i="16"/>
  <c r="P5" i="16"/>
  <c r="O5" i="16"/>
  <c r="N5" i="16"/>
  <c r="M5" i="16"/>
  <c r="L5" i="16"/>
  <c r="K5" i="16"/>
  <c r="I5" i="16"/>
  <c r="H5" i="16"/>
  <c r="G5" i="16"/>
  <c r="F5" i="16"/>
  <c r="E5" i="16"/>
  <c r="D5" i="16"/>
  <c r="C5" i="16"/>
  <c r="AG4" i="16"/>
  <c r="AF4" i="16"/>
  <c r="AE4" i="16"/>
  <c r="AD4" i="16"/>
  <c r="AC4" i="16"/>
  <c r="AB4" i="16"/>
  <c r="AA4" i="16"/>
  <c r="Y4" i="16"/>
  <c r="X4" i="16"/>
  <c r="W4" i="16"/>
  <c r="V4" i="16"/>
  <c r="U4" i="16"/>
  <c r="T4" i="16"/>
  <c r="S4" i="16"/>
  <c r="Q4" i="16"/>
  <c r="P4" i="16"/>
  <c r="O4" i="16"/>
  <c r="N4" i="16"/>
  <c r="M4" i="16"/>
  <c r="L4" i="16"/>
  <c r="K4" i="16"/>
  <c r="I4" i="16"/>
  <c r="H4" i="16"/>
  <c r="G4" i="16"/>
  <c r="F4" i="16"/>
  <c r="E4" i="16"/>
  <c r="D4" i="16"/>
  <c r="C4" i="16"/>
  <c r="B5" i="5" l="1"/>
  <c r="B6" i="5"/>
  <c r="B8" i="5"/>
  <c r="B9" i="5"/>
  <c r="B10" i="5"/>
  <c r="B11" i="5"/>
  <c r="B12" i="5"/>
  <c r="B13" i="5"/>
  <c r="B14" i="5"/>
  <c r="B15" i="5"/>
  <c r="B16" i="5"/>
  <c r="B17" i="5"/>
  <c r="B18" i="5"/>
  <c r="B19" i="5"/>
  <c r="B20" i="5"/>
  <c r="B21" i="5"/>
  <c r="B22" i="5"/>
  <c r="B4" i="5"/>
</calcChain>
</file>

<file path=xl/comments1.xml><?xml version="1.0" encoding="utf-8"?>
<comments xmlns="http://schemas.openxmlformats.org/spreadsheetml/2006/main">
  <authors>
    <author>Notes</author>
    <author>Biele, Lori</author>
  </authors>
  <commentList>
    <comment ref="W4" authorId="0" shapeId="0">
      <text>
        <r>
          <rPr>
            <sz val="8"/>
            <color indexed="81"/>
            <rFont val="Tahoma"/>
            <family val="2"/>
          </rPr>
          <t>July 4th Holiday - US</t>
        </r>
      </text>
    </comment>
    <comment ref="AC4" authorId="0" shapeId="0">
      <text>
        <r>
          <rPr>
            <sz val="8"/>
            <color indexed="81"/>
            <rFont val="Tahoma"/>
            <family val="2"/>
          </rPr>
          <t>Work on FG/PG/Handouts</t>
        </r>
      </text>
    </comment>
    <comment ref="AF13" authorId="0" shapeId="0">
      <text>
        <r>
          <rPr>
            <sz val="8"/>
            <color indexed="81"/>
            <rFont val="Tahoma"/>
            <family val="2"/>
          </rPr>
          <t xml:space="preserve">Review of wsi review meeting
</t>
        </r>
      </text>
    </comment>
    <comment ref="AB15" authorId="0" shapeId="0">
      <text>
        <r>
          <rPr>
            <sz val="8"/>
            <color indexed="81"/>
            <rFont val="Tahoma"/>
            <family val="2"/>
          </rPr>
          <t xml:space="preserve">Final edits of weather module
</t>
        </r>
      </text>
    </comment>
    <comment ref="AA16" authorId="1" shapeId="0">
      <text>
        <r>
          <rPr>
            <b/>
            <sz val="9"/>
            <color indexed="81"/>
            <rFont val="Tahoma"/>
            <family val="2"/>
          </rPr>
          <t>Biele, Lori:</t>
        </r>
        <r>
          <rPr>
            <sz val="9"/>
            <color indexed="81"/>
            <rFont val="Tahoma"/>
            <family val="2"/>
          </rPr>
          <t xml:space="preserve">
Lori's Birthday</t>
        </r>
      </text>
    </comment>
    <comment ref="AE16" authorId="0" shapeId="0">
      <text>
        <r>
          <rPr>
            <sz val="8"/>
            <color indexed="81"/>
            <rFont val="Tahoma"/>
            <family val="2"/>
          </rPr>
          <t>Thanksgiving Holiday - US</t>
        </r>
      </text>
    </comment>
    <comment ref="L17" authorId="0" shapeId="0">
      <text>
        <r>
          <rPr>
            <sz val="8"/>
            <color indexed="81"/>
            <rFont val="Tahoma"/>
            <family val="2"/>
          </rPr>
          <t>Memorial Day Holiday - US</t>
        </r>
      </text>
    </comment>
    <comment ref="T22" authorId="0" shapeId="0">
      <text>
        <r>
          <rPr>
            <sz val="8"/>
            <color indexed="81"/>
            <rFont val="Tahoma"/>
            <family val="2"/>
          </rPr>
          <t>Labor Day - US</t>
        </r>
      </text>
    </comment>
    <comment ref="AC22" authorId="0" shapeId="0">
      <text>
        <r>
          <rPr>
            <sz val="8"/>
            <color indexed="81"/>
            <rFont val="Tahoma"/>
            <family val="2"/>
          </rPr>
          <t>All documents to Mimeo for printing</t>
        </r>
      </text>
    </comment>
    <comment ref="L24" authorId="0" shapeId="0">
      <text>
        <r>
          <rPr>
            <sz val="8"/>
            <color indexed="81"/>
            <rFont val="Tahoma"/>
            <family val="2"/>
          </rPr>
          <t>Team Site Meeting</t>
        </r>
      </text>
    </comment>
    <comment ref="AD25" authorId="0" shapeId="0">
      <text>
        <r>
          <rPr>
            <sz val="8"/>
            <color indexed="81"/>
            <rFont val="Tahoma"/>
            <family val="2"/>
          </rPr>
          <t>Christmas</t>
        </r>
      </text>
    </comment>
  </commentList>
</comments>
</file>

<file path=xl/sharedStrings.xml><?xml version="1.0" encoding="utf-8"?>
<sst xmlns="http://schemas.openxmlformats.org/spreadsheetml/2006/main" count="464" uniqueCount="166">
  <si>
    <t>Task ID</t>
  </si>
  <si>
    <t>Task</t>
  </si>
  <si>
    <t>Owner(s)</t>
  </si>
  <si>
    <t>Target Start</t>
  </si>
  <si>
    <t>Target End</t>
  </si>
  <si>
    <t>Actual End</t>
  </si>
  <si>
    <t>Notes</t>
  </si>
  <si>
    <t>Y</t>
  </si>
  <si>
    <t>Description</t>
  </si>
  <si>
    <t>Decision Team</t>
  </si>
  <si>
    <r>
      <t xml:space="preserve">Decision Reached
</t>
    </r>
    <r>
      <rPr>
        <sz val="11"/>
        <color theme="1"/>
        <rFont val="Calibri"/>
        <family val="2"/>
        <scheme val="minor"/>
      </rPr>
      <t>(Date)</t>
    </r>
  </si>
  <si>
    <r>
      <t xml:space="preserve">Decision Deadline
</t>
    </r>
    <r>
      <rPr>
        <sz val="11"/>
        <color theme="1"/>
        <rFont val="Calibri"/>
        <family val="2"/>
        <scheme val="minor"/>
      </rPr>
      <t>(Date)</t>
    </r>
  </si>
  <si>
    <t>Risk</t>
  </si>
  <si>
    <t>Priority</t>
  </si>
  <si>
    <t>Assigned to</t>
  </si>
  <si>
    <t>Mitigation / Action Strategy</t>
  </si>
  <si>
    <t>Response Date</t>
  </si>
  <si>
    <t>Status</t>
  </si>
  <si>
    <t>Close Date</t>
  </si>
  <si>
    <t>High</t>
  </si>
  <si>
    <t>Alert</t>
  </si>
  <si>
    <t>Low</t>
  </si>
  <si>
    <t>Risk Log - Priority</t>
  </si>
  <si>
    <t>N</t>
  </si>
  <si>
    <t>Question</t>
  </si>
  <si>
    <t>Ask Date</t>
  </si>
  <si>
    <t>Tasked To</t>
  </si>
  <si>
    <t>Answer</t>
  </si>
  <si>
    <t>Answered By</t>
  </si>
  <si>
    <t>Answer Date</t>
  </si>
  <si>
    <t>Closed?</t>
  </si>
  <si>
    <r>
      <t xml:space="preserve">Complete?
</t>
    </r>
    <r>
      <rPr>
        <sz val="11"/>
        <color theme="1"/>
        <rFont val="Calibri"/>
        <family val="2"/>
        <scheme val="minor"/>
      </rPr>
      <t>X</t>
    </r>
  </si>
  <si>
    <t>Storyboard Module Name</t>
  </si>
  <si>
    <t>Owner</t>
  </si>
  <si>
    <t>Lead SME Delivery Date</t>
  </si>
  <si>
    <t>Lead SME 
Review Date</t>
  </si>
  <si>
    <t>Learning Track</t>
  </si>
  <si>
    <r>
      <t xml:space="preserve">Duration of eLearning </t>
    </r>
    <r>
      <rPr>
        <sz val="11"/>
        <color theme="1"/>
        <rFont val="Calibri"/>
        <family val="2"/>
        <scheme val="minor"/>
      </rPr>
      <t>(approximate)</t>
    </r>
  </si>
  <si>
    <t>Storyboard Schedule - Status</t>
  </si>
  <si>
    <t>Complete</t>
  </si>
  <si>
    <t>In Development</t>
  </si>
  <si>
    <t>Pending</t>
  </si>
  <si>
    <t>OJT Module Name</t>
  </si>
  <si>
    <t>Delivery of Design Document (s)</t>
  </si>
  <si>
    <t>Approval of Design Document (s)</t>
  </si>
  <si>
    <t xml:space="preserve">Edit materials based on review feedback </t>
  </si>
  <si>
    <t>Final courses in LMS- Live</t>
  </si>
  <si>
    <r>
      <t xml:space="preserve">Content Due (from SMEs) </t>
    </r>
    <r>
      <rPr>
        <i/>
        <sz val="11"/>
        <color theme="1"/>
        <rFont val="Arial Narrow"/>
        <family val="2"/>
      </rPr>
      <t>(Anything  beyond How Tos)</t>
    </r>
  </si>
  <si>
    <t>Complete - Y/N</t>
  </si>
  <si>
    <t>Complete - X</t>
  </si>
  <si>
    <t>X</t>
  </si>
  <si>
    <t>Complete?</t>
  </si>
  <si>
    <t>Decision Reached?</t>
  </si>
  <si>
    <t>Module Name</t>
  </si>
  <si>
    <t>Submitted By</t>
  </si>
  <si>
    <t>Change Request</t>
  </si>
  <si>
    <t>Course Number (if applicable)</t>
  </si>
  <si>
    <t>Notes / Status</t>
  </si>
  <si>
    <t>Introduction</t>
  </si>
  <si>
    <t>Groups are filters which allow you to roll up (condense) items in the same group.</t>
  </si>
  <si>
    <t>Page Layout View</t>
  </si>
  <si>
    <t>Deleting and Hiding Worksheets</t>
  </si>
  <si>
    <t>Grouping and Ungrouping Rows</t>
  </si>
  <si>
    <t>Conditional Formatting and Drop-Down Menus</t>
  </si>
  <si>
    <t>Where you see a red tab (on the bottom) indicating the name of the worksheet, the red indicates a SAMPLE worksheet with some data pre-populated.  You may choose to delete these worksheets by right-mouse-clicking the tab and selecting "Delete".  You can also hide the worksheet by right-mouse-clicking the tab and choosing "Hide". Note that if you choose to hide (and ultimately, un-hide) worksheets, there is a worksheed called "Links" which should remain hidden and un-edited.  The "Links" worksheet contains the information for all drop-down cells. (See screenshots below.)</t>
  </si>
  <si>
    <r>
      <t xml:space="preserve">All of the pages are in "Page Layout" view.  This makes it easier to change the headers and footers.  To change the view back to "normal", choose the "View" tab, then click "Normal" in the </t>
    </r>
    <r>
      <rPr>
        <i/>
        <sz val="11"/>
        <color theme="1"/>
        <rFont val="Calibri"/>
        <family val="2"/>
        <scheme val="minor"/>
      </rPr>
      <t>Workbook Views</t>
    </r>
    <r>
      <rPr>
        <sz val="11"/>
        <color theme="1"/>
        <rFont val="Calibri"/>
        <family val="2"/>
        <scheme val="minor"/>
      </rPr>
      <t>section.  (See screenshot below.)</t>
    </r>
  </si>
  <si>
    <t>Some worksheets use conditional formatting and drop-down menus.  Additionally (as with the "Risk Log") there are locked cells which cannot be filled in by the user (these are automatically populated based on your selections from a drop-down menu).  When there is a drop-down menu, conditional formatting may change the color of certain cells (i.e., to gray to indicate the task-item is complete, or to red, yellow, or green indicating the level of a risk).  (See example screenshots below.)</t>
  </si>
  <si>
    <t>If you see any instructions on a sheet in a blue box, you can delete the instructions by clicking anywhere on the blue box.</t>
  </si>
  <si>
    <t>Instruction Boxes</t>
  </si>
  <si>
    <t>ID</t>
  </si>
  <si>
    <t>Risk ID</t>
  </si>
  <si>
    <t>January</t>
  </si>
  <si>
    <t>April</t>
  </si>
  <si>
    <t>July</t>
  </si>
  <si>
    <t>October</t>
  </si>
  <si>
    <t>S</t>
  </si>
  <si>
    <t>M</t>
  </si>
  <si>
    <t>T</t>
  </si>
  <si>
    <t>W</t>
  </si>
  <si>
    <t>F</t>
  </si>
  <si>
    <t>February</t>
  </si>
  <si>
    <t>May</t>
  </si>
  <si>
    <t>August</t>
  </si>
  <si>
    <t>November</t>
  </si>
  <si>
    <t>March</t>
  </si>
  <si>
    <t>June</t>
  </si>
  <si>
    <t>September</t>
  </si>
  <si>
    <t>December</t>
  </si>
  <si>
    <t>Pilot: 12/9</t>
  </si>
  <si>
    <t>Kickoff (CV): 4/23-24</t>
  </si>
  <si>
    <t>Milestones and Dates</t>
  </si>
  <si>
    <t>Number of Days</t>
  </si>
  <si>
    <t>Calendar</t>
  </si>
  <si>
    <t>Lori</t>
  </si>
  <si>
    <t>Don</t>
  </si>
  <si>
    <t>Gold Master Delivery: Final Course</t>
  </si>
  <si>
    <t>OJT Materials</t>
  </si>
  <si>
    <t xml:space="preserve">Delivery of OJT Material (including script/images) </t>
  </si>
  <si>
    <t>Approval of OJT Materials (including script/images)</t>
  </si>
  <si>
    <t>Beta Feedback of Storyboards (including script/images)</t>
  </si>
  <si>
    <t>Audio Recording  (Audio content locked)</t>
  </si>
  <si>
    <t>Delivery of Published module</t>
  </si>
  <si>
    <t>Feedback of OJT Materials</t>
  </si>
  <si>
    <t>Alpha revisions /feedback of Storyboards (including script/images) Content Locked</t>
  </si>
  <si>
    <t>Delivery of Course Assessments</t>
  </si>
  <si>
    <t>Review Course Assessments</t>
  </si>
  <si>
    <t>Kickoff Meeting</t>
  </si>
  <si>
    <t xml:space="preserve">Initial Content Review </t>
  </si>
  <si>
    <t xml:space="preserve">Alpha Delivery of Storyboards (including script/rough images) </t>
  </si>
  <si>
    <t>Beta Delivery of Storyboards</t>
  </si>
  <si>
    <t>Content Review of OJT Materials</t>
  </si>
  <si>
    <t>SME</t>
  </si>
  <si>
    <t>Lori/SME</t>
  </si>
  <si>
    <t xml:space="preserve">Upload and publish to Web/ LMS </t>
  </si>
  <si>
    <t>Test courses/assessments on Web/LMS</t>
  </si>
  <si>
    <t>Post to Training Page/Web</t>
  </si>
  <si>
    <t>Sample Content Development for eLearning Course (Random dates)</t>
  </si>
  <si>
    <t>Launch of Revision X.X: 12/3</t>
  </si>
  <si>
    <t>Final edits of Weather Module 1:  11/11 - 11/29</t>
  </si>
  <si>
    <t>WSI review meeting: 11/1 - 11/8</t>
  </si>
  <si>
    <t>Design Documents: 10/1 - 10/31</t>
  </si>
  <si>
    <t>P Created?</t>
  </si>
  <si>
    <t>L Created?</t>
  </si>
  <si>
    <t xml:space="preserve">Chris:  Here are some instructions / helpful tips for using this document.  This is a high level document that will encompass all projects.  Some of the tabs will be used and broken out seperately for SME's.  This document will be streamlined as we move forward and I have a better understanding of our project review phases and timelines.  Please scroll down for additional information.  </t>
  </si>
  <si>
    <t>There is a calendar (and a sample calendar) which will help determine target dates and milestones.  To add a comment into a date field, double-click the cell and enter the comment.  The year is set for 2013, but if you need to change the date, use the spinner control next to the year.</t>
  </si>
  <si>
    <t>Introduction to 4.0 Overview</t>
  </si>
  <si>
    <t>SME Lead</t>
  </si>
  <si>
    <t>QA Lead</t>
  </si>
  <si>
    <t>Project Sponsor</t>
  </si>
  <si>
    <t>Prototype Delivery (eLearning Format)</t>
  </si>
  <si>
    <t>Initial Content Review / Storyboard/ Programming</t>
  </si>
  <si>
    <t>Load and Post to Wistia</t>
  </si>
  <si>
    <t>Beta Delivery of Course</t>
  </si>
  <si>
    <t>Beta Feedback of Course</t>
  </si>
  <si>
    <t>Email to Learning Team</t>
  </si>
  <si>
    <t>Post to TruVu Select</t>
  </si>
  <si>
    <r>
      <t xml:space="preserve">Content Due (from SMEs) </t>
    </r>
    <r>
      <rPr>
        <i/>
        <sz val="11"/>
        <color theme="1"/>
        <rFont val="Arial Narrow"/>
        <family val="2"/>
      </rPr>
      <t>(Access to SW- Installed)</t>
    </r>
  </si>
  <si>
    <t>Kristin</t>
  </si>
  <si>
    <t>y</t>
  </si>
  <si>
    <t>Design Document</t>
  </si>
  <si>
    <t>On Hold</t>
  </si>
  <si>
    <t>4.3a</t>
  </si>
  <si>
    <t>Design Document Review</t>
  </si>
  <si>
    <t>1.6b</t>
  </si>
  <si>
    <t>Kickoff:  Modifying a Scope</t>
  </si>
  <si>
    <t>1.6C</t>
  </si>
  <si>
    <t>1.6D</t>
  </si>
  <si>
    <t>Writing and Development</t>
  </si>
  <si>
    <t>Design Document:  Part 2</t>
  </si>
  <si>
    <t>1.CC</t>
  </si>
  <si>
    <t>Feedback on Design Document</t>
  </si>
  <si>
    <t>Storyboard Approval</t>
  </si>
  <si>
    <t>Completed?</t>
  </si>
  <si>
    <t>After 1.0 release</t>
  </si>
  <si>
    <t>Module 101</t>
  </si>
  <si>
    <t>Names</t>
  </si>
  <si>
    <t>Dean Biele</t>
  </si>
  <si>
    <t>Biele Dean</t>
  </si>
  <si>
    <t xml:space="preserve">Module 1                                                                                     </t>
  </si>
  <si>
    <t>Module2</t>
  </si>
  <si>
    <t>Module 3</t>
  </si>
  <si>
    <t>Module 4</t>
  </si>
  <si>
    <t>Module 5</t>
  </si>
  <si>
    <t>Module 6</t>
  </si>
  <si>
    <t>Module 7</t>
  </si>
  <si>
    <t>Module 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</si>
</sst>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F800]dddd\,\ mmmm\ dd\,\ yyyy"/>
    <numFmt numFmtId="166" formatCode="d"/>
    <numFmt numFmtId="167" formatCode="dd"/>
    <numFmt numFmtId="168" formatCode="m/d/yy;@"/>
  </numFmts>
  <fonts count="16" x14ac:knownFonts="1">
    <font>
      <sz val="11"/>
      <color theme="1"/>
      <name val="Calibri"/>
      <family val="2"/>
      <scheme val="minor"/>
    </font>
    <font>
      <b/>
      <sz val="11"/>
      <color theme="1"/>
      <name val="Calibri"/>
      <family val="2"/>
      <scheme val="minor"/>
    </font>
    <font>
      <b/>
      <sz val="11"/>
      <name val="Calibri"/>
      <family val="2"/>
      <scheme val="minor"/>
    </font>
    <font>
      <sz val="8"/>
      <color indexed="81"/>
      <name val="Tahoma"/>
      <family val="2"/>
    </font>
    <font>
      <sz val="11"/>
      <color theme="1"/>
      <name val="Arial Narrow"/>
      <family val="2"/>
    </font>
    <font>
      <i/>
      <sz val="11"/>
      <color theme="1"/>
      <name val="Arial Narrow"/>
      <family val="2"/>
    </font>
    <font>
      <b/>
      <sz val="18"/>
      <color theme="1"/>
      <name val="Calibri"/>
      <family val="2"/>
      <scheme val="minor"/>
    </font>
    <font>
      <b/>
      <sz val="22"/>
      <color theme="1"/>
      <name val="Calibri"/>
      <family val="2"/>
      <scheme val="minor"/>
    </font>
    <font>
      <i/>
      <sz val="11"/>
      <color theme="1"/>
      <name val="Calibri"/>
      <family val="2"/>
      <scheme val="minor"/>
    </font>
    <font>
      <sz val="10"/>
      <name val="Arial"/>
      <family val="2"/>
    </font>
    <font>
      <b/>
      <sz val="20"/>
      <name val="Calibri"/>
      <family val="2"/>
      <scheme val="minor"/>
    </font>
    <font>
      <sz val="10"/>
      <name val="Calibri"/>
      <family val="2"/>
      <scheme val="minor"/>
    </font>
    <font>
      <b/>
      <sz val="10"/>
      <name val="Calibri"/>
      <family val="2"/>
      <scheme val="minor"/>
    </font>
    <font>
      <sz val="9"/>
      <color indexed="81"/>
      <name val="Tahoma"/>
      <family val="2"/>
    </font>
    <font>
      <b/>
      <sz val="9"/>
      <color indexed="81"/>
      <name val="Tahoma"/>
      <family val="2"/>
    </font>
    <font>
      <b/>
      <u/>
      <sz val="11"/>
      <color rgb="FFFF0000"/>
      <name val="Calibri"/>
      <family val="2"/>
      <scheme val="minor"/>
    </font>
  </fonts>
  <fills count="17">
    <fill>
      <patternFill patternType="none"/>
    </fill>
    <fill>
      <patternFill patternType="gray125"/>
    </fill>
    <fill>
      <patternFill patternType="solid">
        <fgColor theme="6"/>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rgb="FF5CD65C"/>
        <bgColor indexed="64"/>
      </patternFill>
    </fill>
    <fill>
      <patternFill patternType="solid">
        <fgColor rgb="FFFFFF00"/>
        <bgColor indexed="64"/>
      </patternFill>
    </fill>
    <fill>
      <patternFill patternType="solid">
        <fgColor theme="3" tint="0.59999389629810485"/>
        <bgColor indexed="64"/>
      </patternFill>
    </fill>
    <fill>
      <patternFill patternType="solid">
        <fgColor rgb="FFB9D1ED"/>
        <bgColor indexed="64"/>
      </patternFill>
    </fill>
    <fill>
      <patternFill patternType="solid">
        <fgColor rgb="FFD7E5F5"/>
        <bgColor indexed="64"/>
      </patternFill>
    </fill>
    <fill>
      <patternFill patternType="solid">
        <fgColor rgb="FFFF0000"/>
        <bgColor indexed="64"/>
      </patternFill>
    </fill>
    <fill>
      <patternFill patternType="solid">
        <fgColor theme="0" tint="-0.249977111117893"/>
        <bgColor indexed="64"/>
      </patternFill>
    </fill>
    <fill>
      <patternFill patternType="solid">
        <fgColor rgb="FFFF66CC"/>
        <bgColor indexed="64"/>
      </patternFill>
    </fill>
    <fill>
      <patternFill patternType="solid">
        <fgColor theme="0"/>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9" fillId="0" borderId="0"/>
  </cellStyleXfs>
  <cellXfs count="165">
    <xf numFmtId="0" fontId="0" fillId="0" borderId="0" xfId="0"/>
    <xf numFmtId="164" fontId="0" fillId="0" borderId="0" xfId="0" applyNumberFormat="1"/>
    <xf numFmtId="0" fontId="0" fillId="0" borderId="0" xfId="0" applyAlignment="1">
      <alignment wrapText="1"/>
    </xf>
    <xf numFmtId="0" fontId="1" fillId="0" borderId="0" xfId="0" applyFont="1" applyAlignment="1">
      <alignment horizontal="center"/>
    </xf>
    <xf numFmtId="0" fontId="0" fillId="0" borderId="1" xfId="0" applyBorder="1"/>
    <xf numFmtId="0" fontId="0" fillId="0" borderId="1" xfId="0" applyBorder="1" applyAlignment="1">
      <alignment wrapText="1"/>
    </xf>
    <xf numFmtId="0" fontId="1" fillId="0" borderId="1" xfId="0" applyFont="1" applyBorder="1" applyAlignment="1">
      <alignment horizontal="center"/>
    </xf>
    <xf numFmtId="164" fontId="0" fillId="0" borderId="1" xfId="0" applyNumberFormat="1" applyBorder="1"/>
    <xf numFmtId="164" fontId="0" fillId="0" borderId="0" xfId="0" applyNumberFormat="1" applyBorder="1"/>
    <xf numFmtId="0" fontId="0" fillId="0" borderId="0" xfId="0" applyBorder="1" applyAlignment="1">
      <alignment wrapText="1"/>
    </xf>
    <xf numFmtId="0" fontId="0" fillId="0" borderId="0" xfId="0" applyBorder="1"/>
    <xf numFmtId="0" fontId="1" fillId="0" borderId="0" xfId="0" applyFont="1" applyBorder="1" applyAlignment="1">
      <alignment horizontal="center"/>
    </xf>
    <xf numFmtId="2" fontId="0" fillId="0" borderId="1" xfId="0" applyNumberFormat="1" applyBorder="1"/>
    <xf numFmtId="164" fontId="1" fillId="4" borderId="1" xfId="0" applyNumberFormat="1" applyFont="1" applyFill="1" applyBorder="1"/>
    <xf numFmtId="0" fontId="0" fillId="0" borderId="0" xfId="0" applyAlignment="1">
      <alignment horizontal="center"/>
    </xf>
    <xf numFmtId="164" fontId="1" fillId="3" borderId="8" xfId="0" applyNumberFormat="1" applyFont="1" applyFill="1" applyBorder="1"/>
    <xf numFmtId="0" fontId="1" fillId="3" borderId="0" xfId="0" applyFont="1" applyFill="1" applyBorder="1" applyAlignment="1">
      <alignment wrapText="1"/>
    </xf>
    <xf numFmtId="0" fontId="1" fillId="3" borderId="9" xfId="0" applyFont="1" applyFill="1" applyBorder="1" applyAlignment="1">
      <alignment horizontal="center" wrapText="1"/>
    </xf>
    <xf numFmtId="0" fontId="1" fillId="3" borderId="0" xfId="0" applyFont="1" applyFill="1" applyBorder="1" applyAlignment="1">
      <alignment horizontal="center" wrapText="1"/>
    </xf>
    <xf numFmtId="164" fontId="0" fillId="2" borderId="5" xfId="0" applyNumberFormat="1" applyFill="1" applyBorder="1" applyAlignment="1"/>
    <xf numFmtId="164" fontId="0" fillId="2" borderId="6" xfId="0" applyNumberFormat="1" applyFill="1" applyBorder="1" applyAlignment="1"/>
    <xf numFmtId="164" fontId="0" fillId="2" borderId="7" xfId="0" applyNumberFormat="1" applyFill="1" applyBorder="1" applyAlignment="1"/>
    <xf numFmtId="164" fontId="0" fillId="2" borderId="10" xfId="0" applyNumberFormat="1" applyFill="1" applyBorder="1" applyAlignment="1">
      <alignment wrapText="1"/>
    </xf>
    <xf numFmtId="164" fontId="0" fillId="2" borderId="11" xfId="0" applyNumberFormat="1" applyFill="1" applyBorder="1" applyAlignment="1">
      <alignment wrapText="1"/>
    </xf>
    <xf numFmtId="164" fontId="0" fillId="2" borderId="12" xfId="0" applyNumberFormat="1" applyFill="1" applyBorder="1" applyAlignment="1">
      <alignment wrapText="1"/>
    </xf>
    <xf numFmtId="0" fontId="1" fillId="0" borderId="1" xfId="0" applyFont="1" applyBorder="1" applyAlignment="1">
      <alignment horizontal="center" wrapText="1"/>
    </xf>
    <xf numFmtId="0" fontId="1" fillId="0" borderId="0" xfId="0" applyFont="1"/>
    <xf numFmtId="0" fontId="1" fillId="3" borderId="0" xfId="0" applyFont="1" applyFill="1" applyBorder="1" applyAlignment="1">
      <alignment horizontal="center"/>
    </xf>
    <xf numFmtId="0" fontId="1" fillId="3" borderId="9" xfId="0" applyFont="1" applyFill="1" applyBorder="1" applyAlignment="1">
      <alignment horizontal="center" vertical="center" textRotation="90" wrapText="1"/>
    </xf>
    <xf numFmtId="0" fontId="0" fillId="0" borderId="1" xfId="0" applyFont="1" applyBorder="1" applyAlignment="1">
      <alignment horizontal="center"/>
    </xf>
    <xf numFmtId="0" fontId="1" fillId="3" borderId="0" xfId="0" applyFont="1" applyFill="1" applyBorder="1" applyAlignment="1">
      <alignment horizontal="center" vertical="center" textRotation="90" wrapText="1"/>
    </xf>
    <xf numFmtId="0" fontId="4" fillId="0" borderId="1" xfId="0" applyFont="1" applyFill="1" applyBorder="1" applyAlignment="1">
      <alignment vertical="top" wrapText="1"/>
    </xf>
    <xf numFmtId="0" fontId="4" fillId="0" borderId="1" xfId="0" applyFont="1" applyBorder="1" applyAlignment="1">
      <alignment vertical="top" wrapText="1"/>
    </xf>
    <xf numFmtId="164" fontId="0" fillId="2" borderId="5" xfId="0" applyNumberFormat="1" applyFill="1" applyBorder="1" applyAlignment="1" applyProtection="1">
      <protection locked="0"/>
    </xf>
    <xf numFmtId="164" fontId="0" fillId="2" borderId="6" xfId="0" applyNumberFormat="1" applyFill="1" applyBorder="1" applyAlignment="1" applyProtection="1">
      <protection locked="0"/>
    </xf>
    <xf numFmtId="164" fontId="0" fillId="2" borderId="7" xfId="0" applyNumberFormat="1" applyFill="1" applyBorder="1" applyAlignment="1" applyProtection="1">
      <protection locked="0"/>
    </xf>
    <xf numFmtId="0" fontId="0" fillId="0" borderId="0" xfId="0" applyProtection="1">
      <protection locked="0"/>
    </xf>
    <xf numFmtId="164" fontId="1" fillId="3" borderId="0" xfId="0" applyNumberFormat="1" applyFont="1" applyFill="1" applyBorder="1" applyProtection="1">
      <protection locked="0"/>
    </xf>
    <xf numFmtId="0" fontId="1" fillId="3" borderId="0" xfId="0" applyFont="1" applyFill="1" applyBorder="1" applyAlignment="1" applyProtection="1">
      <alignment wrapText="1"/>
      <protection locked="0"/>
    </xf>
    <xf numFmtId="0" fontId="1" fillId="3" borderId="0" xfId="0" applyFont="1" applyFill="1" applyBorder="1" applyAlignment="1" applyProtection="1">
      <alignment horizontal="center" textRotation="90" wrapText="1"/>
      <protection locked="0"/>
    </xf>
    <xf numFmtId="0" fontId="1" fillId="3" borderId="0" xfId="0" applyFont="1" applyFill="1" applyBorder="1" applyAlignment="1" applyProtection="1">
      <alignment horizontal="center" wrapText="1"/>
      <protection locked="0"/>
    </xf>
    <xf numFmtId="0" fontId="1" fillId="3" borderId="9" xfId="0" applyFont="1" applyFill="1" applyBorder="1" applyAlignment="1" applyProtection="1">
      <alignment horizontal="center" vertical="center" textRotation="90" wrapText="1"/>
      <protection locked="0"/>
    </xf>
    <xf numFmtId="0" fontId="0" fillId="0" borderId="0" xfId="0" applyAlignment="1" applyProtection="1">
      <alignment wrapText="1"/>
      <protection locked="0"/>
    </xf>
    <xf numFmtId="164" fontId="0" fillId="2" borderId="10" xfId="0" applyNumberFormat="1" applyFill="1" applyBorder="1" applyAlignment="1" applyProtection="1">
      <alignment wrapText="1"/>
      <protection locked="0"/>
    </xf>
    <xf numFmtId="164" fontId="0" fillId="2" borderId="11" xfId="0" applyNumberFormat="1" applyFill="1" applyBorder="1" applyAlignment="1" applyProtection="1">
      <alignment wrapText="1"/>
      <protection locked="0"/>
    </xf>
    <xf numFmtId="164" fontId="0" fillId="2" borderId="12" xfId="0" applyNumberFormat="1" applyFill="1" applyBorder="1" applyAlignment="1" applyProtection="1">
      <alignment wrapText="1"/>
      <protection locked="0"/>
    </xf>
    <xf numFmtId="0" fontId="0" fillId="0" borderId="1" xfId="0" applyFont="1" applyBorder="1" applyAlignment="1" applyProtection="1">
      <alignment horizontal="center"/>
      <protection locked="0"/>
    </xf>
    <xf numFmtId="0" fontId="1" fillId="0" borderId="1" xfId="0" applyFont="1" applyBorder="1" applyAlignment="1" applyProtection="1">
      <alignment horizontal="center"/>
      <protection locked="0"/>
    </xf>
    <xf numFmtId="0" fontId="0" fillId="0" borderId="1" xfId="0" applyBorder="1" applyAlignment="1" applyProtection="1">
      <alignment wrapText="1"/>
      <protection locked="0"/>
    </xf>
    <xf numFmtId="0" fontId="0" fillId="0" borderId="1" xfId="0" applyBorder="1" applyProtection="1">
      <protection locked="0"/>
    </xf>
    <xf numFmtId="0" fontId="1" fillId="0" borderId="1" xfId="0" applyFont="1" applyBorder="1" applyAlignment="1" applyProtection="1">
      <alignment horizontal="center"/>
    </xf>
    <xf numFmtId="1" fontId="0" fillId="0" borderId="1" xfId="0" applyNumberFormat="1" applyBorder="1"/>
    <xf numFmtId="0" fontId="6" fillId="0" borderId="0" xfId="0" applyFont="1" applyAlignment="1"/>
    <xf numFmtId="164" fontId="1" fillId="3" borderId="8" xfId="0" applyNumberFormat="1" applyFont="1" applyFill="1" applyBorder="1" applyAlignment="1">
      <alignment textRotation="90"/>
    </xf>
    <xf numFmtId="164" fontId="1" fillId="3" borderId="8" xfId="0" applyNumberFormat="1" applyFont="1" applyFill="1" applyBorder="1" applyAlignment="1" applyProtection="1">
      <alignment textRotation="90"/>
      <protection locked="0"/>
    </xf>
    <xf numFmtId="164" fontId="1" fillId="3" borderId="8" xfId="0" applyNumberFormat="1" applyFont="1" applyFill="1" applyBorder="1" applyAlignment="1">
      <alignment horizontal="center" textRotation="90" wrapText="1"/>
    </xf>
    <xf numFmtId="1" fontId="10" fillId="0" borderId="0" xfId="1" applyNumberFormat="1" applyFont="1" applyBorder="1" applyAlignment="1">
      <alignment horizontal="center" vertical="center"/>
    </xf>
    <xf numFmtId="0" fontId="11" fillId="0" borderId="0" xfId="1" applyFont="1"/>
    <xf numFmtId="165" fontId="11" fillId="0" borderId="0" xfId="1" applyNumberFormat="1" applyFont="1" applyAlignment="1"/>
    <xf numFmtId="0" fontId="11" fillId="0" borderId="0" xfId="1" applyFont="1" applyAlignment="1">
      <alignment horizontal="center"/>
    </xf>
    <xf numFmtId="0" fontId="11" fillId="0" borderId="1" xfId="1" applyFont="1" applyBorder="1" applyAlignment="1">
      <alignment horizontal="center"/>
    </xf>
    <xf numFmtId="166" fontId="11" fillId="0" borderId="1" xfId="1" applyNumberFormat="1" applyFont="1" applyBorder="1"/>
    <xf numFmtId="166" fontId="11" fillId="0" borderId="13" xfId="1" applyNumberFormat="1" applyFont="1" applyBorder="1"/>
    <xf numFmtId="0" fontId="11" fillId="0" borderId="0" xfId="1" applyFont="1" applyBorder="1"/>
    <xf numFmtId="166" fontId="11" fillId="0" borderId="6" xfId="1" applyNumberFormat="1" applyFont="1" applyBorder="1"/>
    <xf numFmtId="167" fontId="11" fillId="0" borderId="0" xfId="1" applyNumberFormat="1" applyFont="1"/>
    <xf numFmtId="166" fontId="11" fillId="10" borderId="1" xfId="1" applyNumberFormat="1" applyFont="1" applyFill="1" applyBorder="1"/>
    <xf numFmtId="166" fontId="11" fillId="6" borderId="1" xfId="1" applyNumberFormat="1" applyFont="1" applyFill="1" applyBorder="1"/>
    <xf numFmtId="166" fontId="11" fillId="11" borderId="1" xfId="1" applyNumberFormat="1" applyFont="1" applyFill="1" applyBorder="1"/>
    <xf numFmtId="166" fontId="11" fillId="5" borderId="1" xfId="1" applyNumberFormat="1" applyFont="1" applyFill="1" applyBorder="1"/>
    <xf numFmtId="166" fontId="11" fillId="0" borderId="1" xfId="1" applyNumberFormat="1" applyFont="1" applyFill="1" applyBorder="1"/>
    <xf numFmtId="166" fontId="11" fillId="12" borderId="1" xfId="1" applyNumberFormat="1" applyFont="1" applyFill="1" applyBorder="1"/>
    <xf numFmtId="0" fontId="12" fillId="0" borderId="0" xfId="1" applyFont="1" applyFill="1" applyBorder="1" applyAlignment="1">
      <alignment vertical="center"/>
    </xf>
    <xf numFmtId="0" fontId="12" fillId="7" borderId="1" xfId="1" applyFont="1" applyFill="1" applyBorder="1" applyAlignment="1">
      <alignment horizontal="center" vertical="center"/>
    </xf>
    <xf numFmtId="14" fontId="0" fillId="0" borderId="1" xfId="0" applyNumberFormat="1" applyBorder="1"/>
    <xf numFmtId="168" fontId="0" fillId="0" borderId="1" xfId="0" applyNumberFormat="1" applyBorder="1"/>
    <xf numFmtId="14" fontId="0" fillId="0" borderId="1" xfId="0" applyNumberFormat="1" applyBorder="1" applyProtection="1">
      <protection locked="0"/>
    </xf>
    <xf numFmtId="166" fontId="11" fillId="13" borderId="1" xfId="1" applyNumberFormat="1" applyFont="1" applyFill="1" applyBorder="1"/>
    <xf numFmtId="0" fontId="1" fillId="3" borderId="0" xfId="0" applyFont="1" applyFill="1" applyBorder="1" applyAlignment="1">
      <alignment horizontal="center" wrapText="1"/>
    </xf>
    <xf numFmtId="0" fontId="0" fillId="0" borderId="0" xfId="0" applyAlignment="1">
      <alignment horizontal="center"/>
    </xf>
    <xf numFmtId="0" fontId="0" fillId="0" borderId="0" xfId="0" applyAlignment="1">
      <alignment wrapText="1"/>
    </xf>
    <xf numFmtId="164" fontId="0" fillId="2" borderId="5" xfId="0" applyNumberFormat="1" applyFill="1" applyBorder="1" applyAlignment="1">
      <alignment horizontal="center"/>
    </xf>
    <xf numFmtId="164" fontId="0" fillId="2" borderId="6" xfId="0" applyNumberFormat="1" applyFill="1" applyBorder="1" applyAlignment="1">
      <alignment horizontal="center"/>
    </xf>
    <xf numFmtId="164" fontId="0" fillId="2" borderId="7" xfId="0" applyNumberFormat="1" applyFill="1" applyBorder="1" applyAlignment="1">
      <alignment horizontal="center"/>
    </xf>
    <xf numFmtId="164" fontId="0" fillId="2" borderId="10" xfId="0" applyNumberFormat="1" applyFill="1" applyBorder="1" applyAlignment="1">
      <alignment horizontal="center" wrapText="1"/>
    </xf>
    <xf numFmtId="164" fontId="0" fillId="2" borderId="11" xfId="0" applyNumberFormat="1" applyFill="1" applyBorder="1" applyAlignment="1">
      <alignment horizontal="center" wrapText="1"/>
    </xf>
    <xf numFmtId="164" fontId="0" fillId="2" borderId="12" xfId="0" applyNumberFormat="1" applyFill="1" applyBorder="1" applyAlignment="1">
      <alignment horizontal="center" wrapText="1"/>
    </xf>
    <xf numFmtId="0" fontId="0" fillId="14" borderId="1" xfId="0" applyFill="1" applyBorder="1"/>
    <xf numFmtId="0" fontId="0" fillId="14" borderId="1" xfId="0" applyFill="1" applyBorder="1" applyAlignment="1">
      <alignment wrapText="1"/>
    </xf>
    <xf numFmtId="0" fontId="1" fillId="14" borderId="1" xfId="0" applyFont="1" applyFill="1" applyBorder="1" applyAlignment="1">
      <alignment horizontal="center"/>
    </xf>
    <xf numFmtId="0" fontId="0" fillId="15" borderId="1" xfId="0" applyFill="1" applyBorder="1"/>
    <xf numFmtId="0" fontId="0" fillId="15" borderId="1" xfId="0" applyFill="1" applyBorder="1" applyAlignment="1">
      <alignment wrapText="1"/>
    </xf>
    <xf numFmtId="0" fontId="1" fillId="15" borderId="1" xfId="0" applyFont="1" applyFill="1" applyBorder="1" applyAlignment="1">
      <alignment horizontal="center"/>
    </xf>
    <xf numFmtId="0" fontId="1" fillId="14" borderId="1" xfId="0" applyFont="1" applyFill="1" applyBorder="1" applyAlignment="1">
      <alignment wrapText="1"/>
    </xf>
    <xf numFmtId="0" fontId="1" fillId="15" borderId="1" xfId="0" applyFont="1" applyFill="1" applyBorder="1" applyAlignment="1">
      <alignment wrapText="1"/>
    </xf>
    <xf numFmtId="14" fontId="1" fillId="0" borderId="1" xfId="0" applyNumberFormat="1" applyFont="1" applyBorder="1" applyAlignment="1">
      <alignment horizontal="center"/>
    </xf>
    <xf numFmtId="164" fontId="0" fillId="2" borderId="6" xfId="0" applyNumberFormat="1" applyFill="1" applyBorder="1" applyAlignment="1">
      <alignment horizontal="center" wrapText="1"/>
    </xf>
    <xf numFmtId="0" fontId="0" fillId="0" borderId="0" xfId="0" applyAlignment="1">
      <alignment horizontal="center" wrapText="1"/>
    </xf>
    <xf numFmtId="0" fontId="1" fillId="3" borderId="0" xfId="0" applyNumberFormat="1" applyFont="1" applyFill="1" applyBorder="1" applyAlignment="1">
      <alignment horizontal="center" wrapText="1"/>
    </xf>
    <xf numFmtId="14" fontId="1" fillId="3" borderId="0" xfId="0" applyNumberFormat="1" applyFont="1" applyFill="1" applyBorder="1" applyAlignment="1">
      <alignment horizontal="center" wrapText="1"/>
    </xf>
    <xf numFmtId="14" fontId="0" fillId="0" borderId="0" xfId="0" applyNumberFormat="1"/>
    <xf numFmtId="0" fontId="4" fillId="0" borderId="1" xfId="0" applyFont="1" applyBorder="1" applyAlignment="1">
      <alignment wrapText="1"/>
    </xf>
    <xf numFmtId="164" fontId="0" fillId="2" borderId="6" xfId="0" applyNumberFormat="1" applyFill="1" applyBorder="1" applyAlignment="1" applyProtection="1">
      <alignment wrapText="1"/>
      <protection locked="0"/>
    </xf>
    <xf numFmtId="0" fontId="0" fillId="0" borderId="0" xfId="0" applyFill="1" applyBorder="1"/>
    <xf numFmtId="0" fontId="0" fillId="0" borderId="0" xfId="0" applyFill="1" applyBorder="1" applyAlignment="1">
      <alignment wrapText="1"/>
    </xf>
    <xf numFmtId="0" fontId="1" fillId="0" borderId="0" xfId="0" applyFont="1" applyFill="1" applyBorder="1" applyAlignment="1">
      <alignment horizontal="center"/>
    </xf>
    <xf numFmtId="0" fontId="0" fillId="0" borderId="0" xfId="0" applyFill="1"/>
    <xf numFmtId="0" fontId="0" fillId="0" borderId="0" xfId="0" applyFill="1" applyAlignment="1">
      <alignment horizontal="center"/>
    </xf>
    <xf numFmtId="14" fontId="0" fillId="0" borderId="1" xfId="0" applyNumberFormat="1" applyBorder="1" applyAlignment="1" applyProtection="1">
      <alignment wrapText="1"/>
      <protection locked="0"/>
    </xf>
    <xf numFmtId="0" fontId="0" fillId="5" borderId="1" xfId="0" applyFill="1" applyBorder="1"/>
    <xf numFmtId="0" fontId="1" fillId="5" borderId="1" xfId="0" applyFont="1" applyFill="1" applyBorder="1" applyAlignment="1">
      <alignment wrapText="1"/>
    </xf>
    <xf numFmtId="0" fontId="0" fillId="5" borderId="1" xfId="0" applyFill="1" applyBorder="1" applyAlignment="1">
      <alignment wrapText="1"/>
    </xf>
    <xf numFmtId="0" fontId="1" fillId="5" borderId="1" xfId="0" applyFont="1" applyFill="1" applyBorder="1" applyAlignment="1">
      <alignment horizontal="center"/>
    </xf>
    <xf numFmtId="0" fontId="0" fillId="16" borderId="1" xfId="0" applyFill="1" applyBorder="1"/>
    <xf numFmtId="0" fontId="1" fillId="16" borderId="1" xfId="0" applyFont="1" applyFill="1" applyBorder="1" applyAlignment="1">
      <alignment wrapText="1"/>
    </xf>
    <xf numFmtId="0" fontId="0" fillId="16" borderId="1" xfId="0" applyFill="1" applyBorder="1" applyAlignment="1">
      <alignment wrapText="1"/>
    </xf>
    <xf numFmtId="0" fontId="1" fillId="16" borderId="1" xfId="0" applyFont="1" applyFill="1" applyBorder="1" applyAlignment="1">
      <alignment horizontal="center"/>
    </xf>
    <xf numFmtId="0" fontId="0" fillId="9" borderId="1" xfId="0" applyFill="1" applyBorder="1"/>
    <xf numFmtId="0" fontId="1" fillId="9" borderId="1" xfId="0" applyFont="1" applyFill="1" applyBorder="1" applyAlignment="1">
      <alignment wrapText="1"/>
    </xf>
    <xf numFmtId="0" fontId="0" fillId="9" borderId="1" xfId="0" applyFill="1" applyBorder="1" applyAlignment="1">
      <alignment wrapText="1"/>
    </xf>
    <xf numFmtId="0" fontId="1" fillId="9" borderId="1" xfId="0" applyFont="1" applyFill="1" applyBorder="1" applyAlignment="1">
      <alignment horizontal="center"/>
    </xf>
    <xf numFmtId="0" fontId="0" fillId="12" borderId="1" xfId="0" applyFill="1" applyBorder="1"/>
    <xf numFmtId="0" fontId="0" fillId="12" borderId="1" xfId="0" applyFill="1" applyBorder="1" applyAlignment="1">
      <alignment wrapText="1"/>
    </xf>
    <xf numFmtId="0" fontId="1" fillId="12" borderId="1" xfId="0" applyFont="1" applyFill="1" applyBorder="1" applyAlignment="1">
      <alignment horizontal="center"/>
    </xf>
    <xf numFmtId="0" fontId="1" fillId="12" borderId="1" xfId="0" applyFont="1" applyFill="1" applyBorder="1" applyAlignment="1">
      <alignment wrapText="1"/>
    </xf>
    <xf numFmtId="0" fontId="0" fillId="6" borderId="1" xfId="0" applyFill="1" applyBorder="1"/>
    <xf numFmtId="0" fontId="15" fillId="6" borderId="1" xfId="0" applyFont="1" applyFill="1" applyBorder="1" applyAlignment="1">
      <alignment wrapText="1"/>
    </xf>
    <xf numFmtId="0" fontId="0" fillId="6" borderId="1" xfId="0" applyFill="1" applyBorder="1" applyAlignment="1">
      <alignment wrapText="1"/>
    </xf>
    <xf numFmtId="0" fontId="1" fillId="6" borderId="1" xfId="0" applyFont="1" applyFill="1" applyBorder="1" applyAlignment="1">
      <alignment horizontal="center"/>
    </xf>
    <xf numFmtId="0" fontId="1" fillId="3" borderId="0" xfId="0" applyFont="1" applyFill="1" applyBorder="1" applyAlignment="1">
      <alignment horizontal="center" wrapText="1"/>
    </xf>
    <xf numFmtId="164" fontId="0" fillId="2" borderId="0" xfId="0" applyNumberFormat="1" applyFill="1" applyBorder="1" applyAlignment="1">
      <alignment horizontal="center" vertical="center"/>
    </xf>
    <xf numFmtId="0" fontId="0" fillId="0" borderId="0" xfId="0" applyAlignment="1">
      <alignment horizontal="center"/>
    </xf>
    <xf numFmtId="0" fontId="0" fillId="0" borderId="0" xfId="0" applyAlignment="1">
      <alignment vertical="center" wrapText="1"/>
    </xf>
    <xf numFmtId="0" fontId="7" fillId="3" borderId="0" xfId="0" applyFont="1" applyFill="1" applyBorder="1" applyAlignment="1">
      <alignment horizontal="center" wrapText="1"/>
    </xf>
    <xf numFmtId="0" fontId="0" fillId="0" borderId="0" xfId="0" applyAlignment="1">
      <alignment wrapText="1"/>
    </xf>
    <xf numFmtId="0" fontId="0" fillId="0" borderId="0" xfId="0" applyAlignment="1">
      <alignment vertical="top" wrapText="1"/>
    </xf>
    <xf numFmtId="164" fontId="0" fillId="2" borderId="0" xfId="0" applyNumberFormat="1" applyFill="1" applyAlignment="1">
      <alignment horizontal="center"/>
    </xf>
    <xf numFmtId="0" fontId="2" fillId="4" borderId="2" xfId="0" applyFont="1" applyFill="1" applyBorder="1" applyAlignment="1">
      <alignment wrapText="1"/>
    </xf>
    <xf numFmtId="0" fontId="2" fillId="4" borderId="3" xfId="0" applyFont="1" applyFill="1" applyBorder="1" applyAlignment="1">
      <alignment wrapText="1"/>
    </xf>
    <xf numFmtId="0" fontId="2" fillId="4" borderId="4" xfId="0" applyFont="1" applyFill="1" applyBorder="1" applyAlignment="1">
      <alignment wrapText="1"/>
    </xf>
    <xf numFmtId="164" fontId="0" fillId="2" borderId="5" xfId="0" applyNumberFormat="1" applyFill="1" applyBorder="1" applyAlignment="1">
      <alignment horizontal="center"/>
    </xf>
    <xf numFmtId="164" fontId="0" fillId="2" borderId="6" xfId="0" applyNumberFormat="1" applyFill="1" applyBorder="1" applyAlignment="1">
      <alignment horizontal="center"/>
    </xf>
    <xf numFmtId="164" fontId="0" fillId="2" borderId="7" xfId="0" applyNumberFormat="1" applyFill="1" applyBorder="1" applyAlignment="1">
      <alignment horizontal="center"/>
    </xf>
    <xf numFmtId="164" fontId="0" fillId="2" borderId="10" xfId="0" applyNumberFormat="1" applyFill="1" applyBorder="1" applyAlignment="1">
      <alignment horizontal="center" vertical="center"/>
    </xf>
    <xf numFmtId="164" fontId="0" fillId="2" borderId="11" xfId="0" applyNumberFormat="1" applyFill="1" applyBorder="1" applyAlignment="1">
      <alignment horizontal="center" vertical="center"/>
    </xf>
    <xf numFmtId="164" fontId="0" fillId="2" borderId="12" xfId="0" applyNumberFormat="1" applyFill="1" applyBorder="1" applyAlignment="1">
      <alignment horizontal="center" vertical="center"/>
    </xf>
    <xf numFmtId="0" fontId="1" fillId="4" borderId="2" xfId="0" applyFont="1" applyFill="1" applyBorder="1" applyAlignment="1">
      <alignment wrapText="1"/>
    </xf>
    <xf numFmtId="0" fontId="1" fillId="4" borderId="3" xfId="0" applyFont="1" applyFill="1" applyBorder="1" applyAlignment="1">
      <alignment wrapText="1"/>
    </xf>
    <xf numFmtId="0" fontId="1" fillId="4" borderId="4" xfId="0" applyFont="1" applyFill="1" applyBorder="1" applyAlignment="1">
      <alignment wrapText="1"/>
    </xf>
    <xf numFmtId="164" fontId="0" fillId="2" borderId="3" xfId="0" applyNumberFormat="1" applyFill="1" applyBorder="1" applyAlignment="1">
      <alignment horizontal="center"/>
    </xf>
    <xf numFmtId="0" fontId="2" fillId="4" borderId="2" xfId="0" applyFont="1" applyFill="1" applyBorder="1" applyAlignment="1">
      <alignment horizontal="left" wrapText="1"/>
    </xf>
    <xf numFmtId="0" fontId="2" fillId="4" borderId="3" xfId="0" applyFont="1" applyFill="1" applyBorder="1" applyAlignment="1">
      <alignment horizontal="left" wrapText="1"/>
    </xf>
    <xf numFmtId="0" fontId="2" fillId="4" borderId="4" xfId="0" applyFont="1" applyFill="1" applyBorder="1" applyAlignment="1">
      <alignment horizontal="left" wrapText="1"/>
    </xf>
    <xf numFmtId="164" fontId="0" fillId="2" borderId="10" xfId="0" applyNumberFormat="1" applyFill="1" applyBorder="1" applyAlignment="1">
      <alignment horizontal="center"/>
    </xf>
    <xf numFmtId="164" fontId="0" fillId="2" borderId="11" xfId="0" applyNumberFormat="1" applyFill="1" applyBorder="1" applyAlignment="1">
      <alignment horizontal="center"/>
    </xf>
    <xf numFmtId="164" fontId="0" fillId="2" borderId="12" xfId="0" applyNumberFormat="1" applyFill="1" applyBorder="1" applyAlignment="1">
      <alignment horizontal="center"/>
    </xf>
    <xf numFmtId="0" fontId="12" fillId="9" borderId="2" xfId="1" applyFont="1" applyFill="1" applyBorder="1" applyAlignment="1">
      <alignment horizontal="center" vertical="center"/>
    </xf>
    <xf numFmtId="0" fontId="12" fillId="9" borderId="3" xfId="1" applyFont="1" applyFill="1" applyBorder="1" applyAlignment="1">
      <alignment horizontal="center" vertical="center"/>
    </xf>
    <xf numFmtId="0" fontId="12" fillId="9" borderId="4"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3" xfId="1" applyFont="1" applyFill="1" applyBorder="1" applyAlignment="1">
      <alignment horizontal="center" vertical="center"/>
    </xf>
    <xf numFmtId="0" fontId="12" fillId="7" borderId="4" xfId="1" applyFont="1" applyFill="1" applyBorder="1" applyAlignment="1">
      <alignment horizontal="center" vertical="center"/>
    </xf>
    <xf numFmtId="0" fontId="12" fillId="8" borderId="2" xfId="1" applyFont="1" applyFill="1" applyBorder="1" applyAlignment="1">
      <alignment horizontal="center" vertical="center"/>
    </xf>
    <xf numFmtId="0" fontId="12" fillId="8" borderId="3" xfId="1" applyFont="1" applyFill="1" applyBorder="1" applyAlignment="1">
      <alignment horizontal="center" vertical="center"/>
    </xf>
    <xf numFmtId="0" fontId="12" fillId="8" borderId="4" xfId="1" applyFont="1" applyFill="1" applyBorder="1" applyAlignment="1">
      <alignment horizontal="center" vertical="center"/>
    </xf>
  </cellXfs>
  <cellStyles count="2">
    <cellStyle name="Normal" xfId="0" builtinId="0"/>
    <cellStyle name="Normal 2" xfId="1"/>
  </cellStyles>
  <dxfs count="43">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ill>
        <patternFill>
          <bgColor theme="0" tint="-0.24994659260841701"/>
        </patternFill>
      </fill>
    </dxf>
    <dxf>
      <fill>
        <patternFill>
          <bgColor rgb="FFFF0000"/>
        </patternFill>
      </fill>
    </dxf>
    <dxf>
      <fill>
        <patternFill>
          <bgColor rgb="FFFFFF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
      <font>
        <strike val="0"/>
      </font>
      <fill>
        <patternFill>
          <bgColor theme="0" tint="-0.34998626667073579"/>
        </patternFill>
      </fill>
    </dxf>
  </dxfs>
  <tableStyles count="0" defaultTableStyle="TableStyleMedium2" defaultPivotStyle="PivotStyleLight16"/>
  <colors>
    <mruColors>
      <color rgb="FFFF66CC"/>
      <color rgb="FFFFFFCC"/>
      <color rgb="FFD7E5F5"/>
      <color rgb="FF5CD65C"/>
      <color rgb="FFBCEEBC"/>
      <color rgb="FFB9D1ED"/>
      <color rgb="FF7CDE7C"/>
      <color rgb="FF33CC33"/>
      <color rgb="FFFFFF00"/>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Spin" dx="15" fmlaLink="$A$1" max="9999" min="1900" page="10" val="2013"/>
</file>

<file path=xl/ctrlProps/ctrlProp2.xml><?xml version="1.0" encoding="utf-8"?>
<formControlPr xmlns="http://schemas.microsoft.com/office/spreadsheetml/2009/9/main" objectType="Spin" dx="15" fmlaLink="$A$1" max="9999" min="1900" page="10" val="2013"/>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0.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0.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2</xdr:col>
      <xdr:colOff>9525</xdr:colOff>
      <xdr:row>10</xdr:row>
      <xdr:rowOff>0</xdr:rowOff>
    </xdr:from>
    <xdr:to>
      <xdr:col>11</xdr:col>
      <xdr:colOff>495300</xdr:colOff>
      <xdr:row>21</xdr:row>
      <xdr:rowOff>171450</xdr:rowOff>
    </xdr:to>
    <xdr:pic>
      <xdr:nvPicPr>
        <xdr:cNvPr id="2" name="Picture 1" descr="C:\DOCUME~1\jmcdonou\LOCALS~1\Temp\SNAGHTML1025505b.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3975" y="1152525"/>
          <a:ext cx="6400800" cy="2266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29</xdr:row>
      <xdr:rowOff>38100</xdr:rowOff>
    </xdr:from>
    <xdr:to>
      <xdr:col>12</xdr:col>
      <xdr:colOff>0</xdr:colOff>
      <xdr:row>30</xdr:row>
      <xdr:rowOff>161925</xdr:rowOff>
    </xdr:to>
    <xdr:pic>
      <xdr:nvPicPr>
        <xdr:cNvPr id="6" name="Picture 5" descr="C:\DOCUME~1\jmcdonou\LOCALS~1\Temp\SNAGHTML10322f85.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0100" y="6467475"/>
          <a:ext cx="6096000" cy="314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31</xdr:row>
      <xdr:rowOff>38100</xdr:rowOff>
    </xdr:from>
    <xdr:to>
      <xdr:col>8</xdr:col>
      <xdr:colOff>219075</xdr:colOff>
      <xdr:row>45</xdr:row>
      <xdr:rowOff>104775</xdr:rowOff>
    </xdr:to>
    <xdr:pic>
      <xdr:nvPicPr>
        <xdr:cNvPr id="7" name="Picture 6" descr="C:\DOCUME~1\jmcdonou\LOCALS~1\Temp\SNAGHTML103ea4f9.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00100" y="6848475"/>
          <a:ext cx="3876675"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68</xdr:row>
      <xdr:rowOff>0</xdr:rowOff>
    </xdr:from>
    <xdr:to>
      <xdr:col>11</xdr:col>
      <xdr:colOff>209550</xdr:colOff>
      <xdr:row>85</xdr:row>
      <xdr:rowOff>171450</xdr:rowOff>
    </xdr:to>
    <xdr:pic>
      <xdr:nvPicPr>
        <xdr:cNvPr id="8" name="Picture 7" descr="C:\DOCUME~1\jmcdonou\LOCALS~1\Temp\SNAGHTML104f8c6e.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9277350"/>
          <a:ext cx="5695950" cy="3409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571500</xdr:colOff>
      <xdr:row>85</xdr:row>
      <xdr:rowOff>161925</xdr:rowOff>
    </xdr:from>
    <xdr:to>
      <xdr:col>13</xdr:col>
      <xdr:colOff>200025</xdr:colOff>
      <xdr:row>99</xdr:row>
      <xdr:rowOff>180975</xdr:rowOff>
    </xdr:to>
    <xdr:pic>
      <xdr:nvPicPr>
        <xdr:cNvPr id="9" name="Picture 8" descr="C:\DOCUME~1\jmcdonou\LOCALS~1\Temp\SNAGHTML1052ef30.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81100" y="12677775"/>
          <a:ext cx="6943725" cy="268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107</xdr:row>
      <xdr:rowOff>0</xdr:rowOff>
    </xdr:from>
    <xdr:to>
      <xdr:col>13</xdr:col>
      <xdr:colOff>266700</xdr:colOff>
      <xdr:row>133</xdr:row>
      <xdr:rowOff>76200</xdr:rowOff>
    </xdr:to>
    <xdr:pic>
      <xdr:nvPicPr>
        <xdr:cNvPr id="10" name="Picture 9" descr="C:\DOCUME~1\jmcdonou\LOCALS~1\Temp\SNAGHTML10588acc.PN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16516350"/>
          <a:ext cx="6972300" cy="502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xdr:colOff>
      <xdr:row>45</xdr:row>
      <xdr:rowOff>161925</xdr:rowOff>
    </xdr:from>
    <xdr:to>
      <xdr:col>12</xdr:col>
      <xdr:colOff>95250</xdr:colOff>
      <xdr:row>61</xdr:row>
      <xdr:rowOff>104775</xdr:rowOff>
    </xdr:to>
    <xdr:pic>
      <xdr:nvPicPr>
        <xdr:cNvPr id="12" name="Picture 11" descr="C:\DOCUME~1\jmcdonou\LOCALS~1\Temp\SNAGHTML10689d9a.PN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09625" y="10096500"/>
          <a:ext cx="6181725" cy="299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140</xdr:row>
      <xdr:rowOff>0</xdr:rowOff>
    </xdr:from>
    <xdr:to>
      <xdr:col>12</xdr:col>
      <xdr:colOff>352425</xdr:colOff>
      <xdr:row>158</xdr:row>
      <xdr:rowOff>19050</xdr:rowOff>
    </xdr:to>
    <xdr:pic>
      <xdr:nvPicPr>
        <xdr:cNvPr id="11" name="Picture 10" descr="C:\DOCUME~1\jmcdonou\LOCALS~1\Temp\SNAGHTML109d2ed1.PN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00100" y="28222575"/>
          <a:ext cx="6448425" cy="3448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93169</xdr:colOff>
      <xdr:row>163</xdr:row>
      <xdr:rowOff>190499</xdr:rowOff>
    </xdr:from>
    <xdr:to>
      <xdr:col>12</xdr:col>
      <xdr:colOff>417643</xdr:colOff>
      <xdr:row>181</xdr:row>
      <xdr:rowOff>75512</xdr:rowOff>
    </xdr:to>
    <xdr:pic>
      <xdr:nvPicPr>
        <xdr:cNvPr id="3" name="Picture 2"/>
        <xdr:cNvPicPr>
          <a:picLocks noChangeAspect="1"/>
        </xdr:cNvPicPr>
      </xdr:nvPicPr>
      <xdr:blipFill>
        <a:blip xmlns:r="http://schemas.openxmlformats.org/officeDocument/2006/relationships" r:embed="rId9"/>
        <a:stretch>
          <a:fillRect/>
        </a:stretch>
      </xdr:blipFill>
      <xdr:spPr>
        <a:xfrm>
          <a:off x="283669" y="32899349"/>
          <a:ext cx="7030074" cy="33140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847725</xdr:colOff>
      <xdr:row>1</xdr:row>
      <xdr:rowOff>104775</xdr:rowOff>
    </xdr:from>
    <xdr:to>
      <xdr:col>8</xdr:col>
      <xdr:colOff>1295400</xdr:colOff>
      <xdr:row>1</xdr:row>
      <xdr:rowOff>552450</xdr:rowOff>
    </xdr:to>
    <xdr:pic macro="[0]!Mail_ActiveSheet">
      <xdr:nvPicPr>
        <xdr:cNvPr id="2" name="Picture 1" descr="C:\Documents and Settings\jmcdonou\Local Settings\Temporary Internet Files\Content.IE5\ZPK6ZQUX\MC900442124[1].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20175" y="161925"/>
          <a:ext cx="4476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0</xdr:row>
          <xdr:rowOff>0</xdr:rowOff>
        </xdr:from>
        <xdr:to>
          <xdr:col>1</xdr:col>
          <xdr:colOff>209550</xdr:colOff>
          <xdr:row>0</xdr:row>
          <xdr:rowOff>342900</xdr:rowOff>
        </xdr:to>
        <xdr:sp macro="" textlink="">
          <xdr:nvSpPr>
            <xdr:cNvPr id="18433" name="Spinner 1" hidden="1">
              <a:extLst>
                <a:ext uri="{63B3BB69-23CF-44E3-9099-C40C66FF867C}">
                  <a14:compatExt spid="_x0000_s18433"/>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20</xdr:col>
      <xdr:colOff>19050</xdr:colOff>
      <xdr:row>0</xdr:row>
      <xdr:rowOff>49707</xdr:rowOff>
    </xdr:from>
    <xdr:ext cx="2956163" cy="743345"/>
    <xdr:sp macro="" textlink="">
      <xdr:nvSpPr>
        <xdr:cNvPr id="3" name="TextBox 2"/>
        <xdr:cNvSpPr txBox="1"/>
      </xdr:nvSpPr>
      <xdr:spPr>
        <a:xfrm>
          <a:off x="5362575" y="49707"/>
          <a:ext cx="2956163" cy="743345"/>
        </a:xfrm>
        <a:prstGeom prst="rect">
          <a:avLst/>
        </a:prstGeom>
        <a:solidFill>
          <a:srgbClr val="FFFF00">
            <a:alpha val="50196"/>
          </a:srgb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3600" b="1">
              <a:latin typeface="Arial Black" pitchFamily="34" charset="0"/>
            </a:rPr>
            <a:t>SAMPLE</a:t>
          </a:r>
        </a:p>
      </xdr:txBody>
    </xdr:sp>
    <xdr:clientData/>
  </xdr:oneCellAnchor>
  <xdr:twoCellAnchor>
    <xdr:from>
      <xdr:col>3</xdr:col>
      <xdr:colOff>200025</xdr:colOff>
      <xdr:row>0</xdr:row>
      <xdr:rowOff>76199</xdr:rowOff>
    </xdr:from>
    <xdr:to>
      <xdr:col>16</xdr:col>
      <xdr:colOff>123825</xdr:colOff>
      <xdr:row>0</xdr:row>
      <xdr:rowOff>914400</xdr:rowOff>
    </xdr:to>
    <xdr:sp macro="[0]!DeleteShpaes" textlink="">
      <xdr:nvSpPr>
        <xdr:cNvPr id="4" name="Rectangle 3"/>
        <xdr:cNvSpPr/>
      </xdr:nvSpPr>
      <xdr:spPr>
        <a:xfrm>
          <a:off x="1333500" y="76199"/>
          <a:ext cx="3143250" cy="8382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Sample Calendar</a:t>
          </a:r>
          <a:r>
            <a:rPr lang="en-US" sz="1100" baseline="0"/>
            <a:t> that we can decide to use for at-a-glance scheduling. </a:t>
          </a:r>
        </a:p>
        <a:p>
          <a:pPr algn="ctr"/>
          <a:endParaRPr lang="en-US" sz="1100" baseline="0"/>
        </a:p>
        <a:p>
          <a:pPr algn="ctr"/>
          <a:r>
            <a:rPr lang="en-US" sz="1100" baseline="0"/>
            <a:t>.</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0</xdr:row>
          <xdr:rowOff>0</xdr:rowOff>
        </xdr:from>
        <xdr:to>
          <xdr:col>1</xdr:col>
          <xdr:colOff>209550</xdr:colOff>
          <xdr:row>1</xdr:row>
          <xdr:rowOff>9525</xdr:rowOff>
        </xdr:to>
        <xdr:sp macro="" textlink="">
          <xdr:nvSpPr>
            <xdr:cNvPr id="16385" name="Spinner 1" hidden="1">
              <a:extLst>
                <a:ext uri="{63B3BB69-23CF-44E3-9099-C40C66FF867C}">
                  <a14:compatExt spid="_x0000_s16385"/>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33</xdr:col>
      <xdr:colOff>171450</xdr:colOff>
      <xdr:row>3</xdr:row>
      <xdr:rowOff>47625</xdr:rowOff>
    </xdr:from>
    <xdr:to>
      <xdr:col>34</xdr:col>
      <xdr:colOff>1971675</xdr:colOff>
      <xdr:row>9</xdr:row>
      <xdr:rowOff>104775</xdr:rowOff>
    </xdr:to>
    <xdr:sp macro="[0]!DeleteShpaes" textlink="">
      <xdr:nvSpPr>
        <xdr:cNvPr id="6" name="Rectangle 5"/>
        <xdr:cNvSpPr/>
      </xdr:nvSpPr>
      <xdr:spPr>
        <a:xfrm>
          <a:off x="8734425" y="781050"/>
          <a:ext cx="2066925" cy="1257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Blank Calendar-</a:t>
          </a:r>
          <a:r>
            <a:rPr lang="en-US" sz="1100" baseline="0"/>
            <a:t> Placeholder</a:t>
          </a:r>
        </a:p>
        <a:p>
          <a:pPr algn="ctr"/>
          <a:endParaRPr lang="en-US"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552450</xdr:colOff>
      <xdr:row>5</xdr:row>
      <xdr:rowOff>66675</xdr:rowOff>
    </xdr:from>
    <xdr:to>
      <xdr:col>4</xdr:col>
      <xdr:colOff>857250</xdr:colOff>
      <xdr:row>12</xdr:row>
      <xdr:rowOff>171450</xdr:rowOff>
    </xdr:to>
    <xdr:sp macro="[0]!DeleteShpaes" textlink="">
      <xdr:nvSpPr>
        <xdr:cNvPr id="4" name="Rectangle 3"/>
        <xdr:cNvSpPr/>
      </xdr:nvSpPr>
      <xdr:spPr>
        <a:xfrm>
          <a:off x="2562225" y="1371600"/>
          <a:ext cx="3619500" cy="1571625"/>
        </a:xfrm>
        <a:prstGeom prst="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t>Use this</a:t>
          </a:r>
          <a:r>
            <a:rPr lang="en-US" sz="1400" baseline="0"/>
            <a:t> sheet ("Edit List") to track change requests once module is complete and has been deployed.</a:t>
          </a:r>
        </a:p>
        <a:p>
          <a:pPr algn="ctr"/>
          <a:endParaRPr lang="en-US" sz="1400" baseline="0"/>
        </a:p>
        <a:p>
          <a:pPr algn="ctr"/>
          <a:r>
            <a:rPr lang="en-US" sz="1400" baseline="0"/>
            <a:t>CLICK anywhere on this box to delete these instructions.</a:t>
          </a:r>
          <a:endParaRPr lang="en-US" sz="1400"/>
        </a:p>
      </xdr:txBody>
    </xdr:sp>
    <xdr:clientData/>
  </xdr:twoCellAnchor>
</xdr:wsDr>
</file>

<file path=xl/theme/theme1.xml><?xml version="1.0" encoding="utf-8"?>
<a:theme xmlns:a="http://schemas.openxmlformats.org/drawingml/2006/main" name="Office Theme">
  <a:themeElements>
    <a:clrScheme name="Apex">
      <a:dk1>
        <a:sysClr val="windowText" lastClr="000000"/>
      </a:dk1>
      <a:lt1>
        <a:sysClr val="window" lastClr="FFFFFF"/>
      </a:lt1>
      <a:dk2>
        <a:srgbClr val="69676D"/>
      </a:dk2>
      <a:lt2>
        <a:srgbClr val="C9C2D1"/>
      </a:lt2>
      <a:accent1>
        <a:srgbClr val="CEB966"/>
      </a:accent1>
      <a:accent2>
        <a:srgbClr val="9CB084"/>
      </a:accent2>
      <a:accent3>
        <a:srgbClr val="6BB1C9"/>
      </a:accent3>
      <a:accent4>
        <a:srgbClr val="6585CF"/>
      </a:accent4>
      <a:accent5>
        <a:srgbClr val="7E6BC9"/>
      </a:accent5>
      <a:accent6>
        <a:srgbClr val="A379BB"/>
      </a:accent6>
      <a:hlink>
        <a:srgbClr val="410082"/>
      </a:hlink>
      <a:folHlink>
        <a:srgbClr val="932968"/>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9.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10.bin"/><Relationship Id="rId4" Type="http://schemas.openxmlformats.org/officeDocument/2006/relationships/ctrlProp" Target="../ctrlProps/ctrlProp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N183"/>
  <sheetViews>
    <sheetView showGridLines="0" showRowColHeaders="0" topLeftCell="A85" zoomScaleNormal="100" workbookViewId="0">
      <selection activeCell="B3" sqref="B3:N4"/>
    </sheetView>
  </sheetViews>
  <sheetFormatPr defaultRowHeight="15" x14ac:dyDescent="0.25"/>
  <cols>
    <col min="1" max="1" width="2.85546875" customWidth="1"/>
    <col min="15" max="15" width="3.42578125" customWidth="1"/>
  </cols>
  <sheetData>
    <row r="1" spans="1:14" ht="28.5" x14ac:dyDescent="0.45">
      <c r="A1" s="52"/>
      <c r="B1" s="133" t="s">
        <v>58</v>
      </c>
      <c r="C1" s="133"/>
      <c r="D1" s="133"/>
      <c r="E1" s="133"/>
      <c r="F1" s="133"/>
      <c r="G1" s="133"/>
      <c r="H1" s="133"/>
      <c r="I1" s="133"/>
      <c r="J1" s="133"/>
      <c r="K1" s="133"/>
      <c r="L1" s="133"/>
      <c r="M1" s="133"/>
      <c r="N1" s="133"/>
    </row>
    <row r="2" spans="1:14" ht="4.5" customHeight="1" x14ac:dyDescent="0.25">
      <c r="B2" s="130"/>
      <c r="C2" s="130"/>
      <c r="D2" s="130"/>
      <c r="E2" s="130"/>
      <c r="F2" s="130"/>
      <c r="G2" s="130"/>
      <c r="H2" s="130"/>
      <c r="I2" s="130"/>
      <c r="J2" s="130"/>
      <c r="K2" s="130"/>
      <c r="L2" s="130"/>
      <c r="M2" s="130"/>
      <c r="N2" s="130"/>
    </row>
    <row r="3" spans="1:14" ht="35.25" customHeight="1" x14ac:dyDescent="0.25">
      <c r="B3" s="135" t="s">
        <v>123</v>
      </c>
      <c r="C3" s="135"/>
      <c r="D3" s="135"/>
      <c r="E3" s="135"/>
      <c r="F3" s="135"/>
      <c r="G3" s="135"/>
      <c r="H3" s="135"/>
      <c r="I3" s="135"/>
      <c r="J3" s="135"/>
      <c r="K3" s="135"/>
      <c r="L3" s="135"/>
      <c r="M3" s="135"/>
      <c r="N3" s="135"/>
    </row>
    <row r="4" spans="1:14" x14ac:dyDescent="0.25">
      <c r="B4" s="135"/>
      <c r="C4" s="135"/>
      <c r="D4" s="135"/>
      <c r="E4" s="135"/>
      <c r="F4" s="135"/>
      <c r="G4" s="135"/>
      <c r="H4" s="135"/>
      <c r="I4" s="135"/>
      <c r="J4" s="135"/>
      <c r="K4" s="135"/>
      <c r="L4" s="135"/>
      <c r="M4" s="135"/>
      <c r="N4" s="135"/>
    </row>
    <row r="5" spans="1:14" x14ac:dyDescent="0.25">
      <c r="B5" s="131"/>
      <c r="C5" s="131"/>
      <c r="D5" s="131"/>
      <c r="E5" s="131"/>
      <c r="F5" s="131"/>
      <c r="G5" s="131"/>
      <c r="H5" s="131"/>
      <c r="I5" s="131"/>
      <c r="J5" s="131"/>
      <c r="K5" s="131"/>
      <c r="L5" s="131"/>
      <c r="M5" s="131"/>
      <c r="N5" s="131"/>
    </row>
    <row r="6" spans="1:14" x14ac:dyDescent="0.25">
      <c r="B6" s="129" t="s">
        <v>60</v>
      </c>
      <c r="C6" s="129"/>
      <c r="D6" s="129"/>
      <c r="E6" s="129"/>
      <c r="F6" s="129"/>
      <c r="G6" s="129"/>
      <c r="H6" s="129"/>
      <c r="I6" s="129"/>
      <c r="J6" s="129"/>
      <c r="K6" s="129"/>
      <c r="L6" s="129"/>
      <c r="M6" s="129"/>
      <c r="N6" s="129"/>
    </row>
    <row r="7" spans="1:14" ht="4.5" customHeight="1" x14ac:dyDescent="0.25">
      <c r="B7" s="130"/>
      <c r="C7" s="130"/>
      <c r="D7" s="130"/>
      <c r="E7" s="130"/>
      <c r="F7" s="130"/>
      <c r="G7" s="130"/>
      <c r="H7" s="130"/>
      <c r="I7" s="130"/>
      <c r="J7" s="130"/>
      <c r="K7" s="130"/>
      <c r="L7" s="130"/>
      <c r="M7" s="130"/>
      <c r="N7" s="130"/>
    </row>
    <row r="8" spans="1:14" x14ac:dyDescent="0.25">
      <c r="B8" s="131"/>
      <c r="C8" s="131"/>
      <c r="D8" s="131"/>
      <c r="E8" s="131"/>
      <c r="F8" s="131"/>
      <c r="G8" s="131"/>
      <c r="H8" s="131"/>
      <c r="I8" s="131"/>
      <c r="J8" s="131"/>
      <c r="K8" s="131"/>
      <c r="L8" s="131"/>
      <c r="M8" s="131"/>
      <c r="N8" s="131"/>
    </row>
    <row r="9" spans="1:14" ht="30.75" customHeight="1" x14ac:dyDescent="0.25">
      <c r="B9" s="134" t="s">
        <v>65</v>
      </c>
      <c r="C9" s="134"/>
      <c r="D9" s="134"/>
      <c r="E9" s="134"/>
      <c r="F9" s="134"/>
      <c r="G9" s="134"/>
      <c r="H9" s="134"/>
      <c r="I9" s="134"/>
      <c r="J9" s="134"/>
      <c r="K9" s="134"/>
      <c r="L9" s="134"/>
      <c r="M9" s="134"/>
      <c r="N9" s="134"/>
    </row>
    <row r="10" spans="1:14" x14ac:dyDescent="0.25">
      <c r="B10" s="131"/>
      <c r="C10" s="131"/>
      <c r="D10" s="131"/>
      <c r="E10" s="131"/>
      <c r="F10" s="131"/>
      <c r="G10" s="131"/>
      <c r="H10" s="131"/>
      <c r="I10" s="131"/>
      <c r="J10" s="131"/>
      <c r="K10" s="131"/>
      <c r="L10" s="131"/>
      <c r="M10" s="131"/>
      <c r="N10" s="131"/>
    </row>
    <row r="11" spans="1:14" x14ac:dyDescent="0.25">
      <c r="B11" s="131"/>
      <c r="C11" s="131"/>
      <c r="D11" s="131"/>
      <c r="E11" s="131"/>
      <c r="F11" s="131"/>
      <c r="G11" s="131"/>
      <c r="H11" s="131"/>
      <c r="I11" s="131"/>
      <c r="J11" s="131"/>
      <c r="K11" s="131"/>
      <c r="L11" s="131"/>
      <c r="M11" s="131"/>
      <c r="N11" s="131"/>
    </row>
    <row r="12" spans="1:14" x14ac:dyDescent="0.25">
      <c r="B12" s="131"/>
      <c r="C12" s="131"/>
      <c r="D12" s="131"/>
      <c r="E12" s="131"/>
      <c r="F12" s="131"/>
      <c r="G12" s="131"/>
      <c r="H12" s="131"/>
      <c r="I12" s="131"/>
      <c r="J12" s="131"/>
      <c r="K12" s="131"/>
      <c r="L12" s="131"/>
      <c r="M12" s="131"/>
      <c r="N12" s="131"/>
    </row>
    <row r="13" spans="1:14" x14ac:dyDescent="0.25">
      <c r="B13" s="131"/>
      <c r="C13" s="131"/>
      <c r="D13" s="131"/>
      <c r="E13" s="131"/>
      <c r="F13" s="131"/>
      <c r="G13" s="131"/>
      <c r="H13" s="131"/>
      <c r="I13" s="131"/>
      <c r="J13" s="131"/>
      <c r="K13" s="131"/>
      <c r="L13" s="131"/>
      <c r="M13" s="131"/>
      <c r="N13" s="131"/>
    </row>
    <row r="14" spans="1:14" x14ac:dyDescent="0.25">
      <c r="B14" s="131"/>
      <c r="C14" s="131"/>
      <c r="D14" s="131"/>
      <c r="E14" s="131"/>
      <c r="F14" s="131"/>
      <c r="G14" s="131"/>
      <c r="H14" s="131"/>
      <c r="I14" s="131"/>
      <c r="J14" s="131"/>
      <c r="K14" s="131"/>
      <c r="L14" s="131"/>
      <c r="M14" s="131"/>
      <c r="N14" s="131"/>
    </row>
    <row r="15" spans="1:14" x14ac:dyDescent="0.25">
      <c r="B15" s="131"/>
      <c r="C15" s="131"/>
      <c r="D15" s="131"/>
      <c r="E15" s="131"/>
      <c r="F15" s="131"/>
      <c r="G15" s="131"/>
      <c r="H15" s="131"/>
      <c r="I15" s="131"/>
      <c r="J15" s="131"/>
      <c r="K15" s="131"/>
      <c r="L15" s="131"/>
      <c r="M15" s="131"/>
      <c r="N15" s="131"/>
    </row>
    <row r="16" spans="1:14" x14ac:dyDescent="0.25">
      <c r="B16" s="131"/>
      <c r="C16" s="131"/>
      <c r="D16" s="131"/>
      <c r="E16" s="131"/>
      <c r="F16" s="131"/>
      <c r="G16" s="131"/>
      <c r="H16" s="131"/>
      <c r="I16" s="131"/>
      <c r="J16" s="131"/>
      <c r="K16" s="131"/>
      <c r="L16" s="131"/>
      <c r="M16" s="131"/>
      <c r="N16" s="131"/>
    </row>
    <row r="17" spans="2:14" x14ac:dyDescent="0.25">
      <c r="B17" s="131"/>
      <c r="C17" s="131"/>
      <c r="D17" s="131"/>
      <c r="E17" s="131"/>
      <c r="F17" s="131"/>
      <c r="G17" s="131"/>
      <c r="H17" s="131"/>
      <c r="I17" s="131"/>
      <c r="J17" s="131"/>
      <c r="K17" s="131"/>
      <c r="L17" s="131"/>
      <c r="M17" s="131"/>
      <c r="N17" s="131"/>
    </row>
    <row r="18" spans="2:14" x14ac:dyDescent="0.25">
      <c r="B18" s="131"/>
      <c r="C18" s="131"/>
      <c r="D18" s="131"/>
      <c r="E18" s="131"/>
      <c r="F18" s="131"/>
      <c r="G18" s="131"/>
      <c r="H18" s="131"/>
      <c r="I18" s="131"/>
      <c r="J18" s="131"/>
      <c r="K18" s="131"/>
      <c r="L18" s="131"/>
      <c r="M18" s="131"/>
      <c r="N18" s="131"/>
    </row>
    <row r="19" spans="2:14" x14ac:dyDescent="0.25">
      <c r="B19" s="131"/>
      <c r="C19" s="131"/>
      <c r="D19" s="131"/>
      <c r="E19" s="131"/>
      <c r="F19" s="131"/>
      <c r="G19" s="131"/>
      <c r="H19" s="131"/>
      <c r="I19" s="131"/>
      <c r="J19" s="131"/>
      <c r="K19" s="131"/>
      <c r="L19" s="131"/>
      <c r="M19" s="131"/>
      <c r="N19" s="131"/>
    </row>
    <row r="20" spans="2:14" x14ac:dyDescent="0.25">
      <c r="B20" s="131"/>
      <c r="C20" s="131"/>
      <c r="D20" s="131"/>
      <c r="E20" s="131"/>
      <c r="F20" s="131"/>
      <c r="G20" s="131"/>
      <c r="H20" s="131"/>
      <c r="I20" s="131"/>
      <c r="J20" s="131"/>
      <c r="K20" s="131"/>
      <c r="L20" s="131"/>
      <c r="M20" s="131"/>
      <c r="N20" s="131"/>
    </row>
    <row r="21" spans="2:14" x14ac:dyDescent="0.25">
      <c r="B21" s="131"/>
      <c r="C21" s="131"/>
      <c r="D21" s="131"/>
      <c r="E21" s="131"/>
      <c r="F21" s="131"/>
      <c r="G21" s="131"/>
      <c r="H21" s="131"/>
      <c r="I21" s="131"/>
      <c r="J21" s="131"/>
      <c r="K21" s="131"/>
      <c r="L21" s="131"/>
      <c r="M21" s="131"/>
      <c r="N21" s="131"/>
    </row>
    <row r="22" spans="2:14" x14ac:dyDescent="0.25">
      <c r="B22" s="131"/>
      <c r="C22" s="131"/>
      <c r="D22" s="131"/>
      <c r="E22" s="131"/>
      <c r="F22" s="131"/>
      <c r="G22" s="131"/>
      <c r="H22" s="131"/>
      <c r="I22" s="131"/>
      <c r="J22" s="131"/>
      <c r="K22" s="131"/>
      <c r="L22" s="131"/>
      <c r="M22" s="131"/>
      <c r="N22" s="131"/>
    </row>
    <row r="23" spans="2:14" x14ac:dyDescent="0.25">
      <c r="B23" s="131"/>
      <c r="C23" s="131"/>
      <c r="D23" s="131"/>
      <c r="E23" s="131"/>
      <c r="F23" s="131"/>
      <c r="G23" s="131"/>
      <c r="H23" s="131"/>
      <c r="I23" s="131"/>
      <c r="J23" s="131"/>
      <c r="K23" s="131"/>
      <c r="L23" s="131"/>
      <c r="M23" s="131"/>
      <c r="N23" s="131"/>
    </row>
    <row r="24" spans="2:14" x14ac:dyDescent="0.25">
      <c r="B24" s="129" t="s">
        <v>61</v>
      </c>
      <c r="C24" s="129"/>
      <c r="D24" s="129"/>
      <c r="E24" s="129"/>
      <c r="F24" s="129"/>
      <c r="G24" s="129"/>
      <c r="H24" s="129"/>
      <c r="I24" s="129"/>
      <c r="J24" s="129"/>
      <c r="K24" s="129"/>
      <c r="L24" s="129"/>
      <c r="M24" s="129"/>
      <c r="N24" s="129"/>
    </row>
    <row r="25" spans="2:14" ht="4.5" customHeight="1" x14ac:dyDescent="0.25">
      <c r="B25" s="130"/>
      <c r="C25" s="130"/>
      <c r="D25" s="130"/>
      <c r="E25" s="130"/>
      <c r="F25" s="130"/>
      <c r="G25" s="130"/>
      <c r="H25" s="130"/>
      <c r="I25" s="130"/>
      <c r="J25" s="130"/>
      <c r="K25" s="130"/>
      <c r="L25" s="130"/>
      <c r="M25" s="130"/>
      <c r="N25" s="130"/>
    </row>
    <row r="26" spans="2:14" x14ac:dyDescent="0.25">
      <c r="B26" s="131"/>
      <c r="C26" s="131"/>
      <c r="D26" s="131"/>
      <c r="E26" s="131"/>
      <c r="F26" s="131"/>
      <c r="G26" s="131"/>
      <c r="H26" s="131"/>
      <c r="I26" s="131"/>
      <c r="J26" s="131"/>
      <c r="K26" s="131"/>
      <c r="L26" s="131"/>
      <c r="M26" s="131"/>
      <c r="N26" s="131"/>
    </row>
    <row r="27" spans="2:14" ht="81" customHeight="1" x14ac:dyDescent="0.25">
      <c r="B27" s="134" t="s">
        <v>64</v>
      </c>
      <c r="C27" s="134"/>
      <c r="D27" s="134"/>
      <c r="E27" s="134"/>
      <c r="F27" s="134"/>
      <c r="G27" s="134"/>
      <c r="H27" s="134"/>
      <c r="I27" s="134"/>
      <c r="J27" s="134"/>
      <c r="K27" s="134"/>
      <c r="L27" s="134"/>
      <c r="M27" s="134"/>
      <c r="N27" s="134"/>
    </row>
    <row r="28" spans="2:14" x14ac:dyDescent="0.25">
      <c r="B28" s="131"/>
      <c r="C28" s="131"/>
      <c r="D28" s="131"/>
      <c r="E28" s="131"/>
      <c r="F28" s="131"/>
      <c r="G28" s="131"/>
      <c r="H28" s="131"/>
      <c r="I28" s="131"/>
      <c r="J28" s="131"/>
      <c r="K28" s="131"/>
      <c r="L28" s="131"/>
      <c r="M28" s="131"/>
      <c r="N28" s="131"/>
    </row>
    <row r="29" spans="2:14" x14ac:dyDescent="0.25">
      <c r="B29" s="131"/>
      <c r="C29" s="131"/>
      <c r="D29" s="131"/>
      <c r="E29" s="131"/>
      <c r="F29" s="131"/>
      <c r="G29" s="131"/>
      <c r="H29" s="131"/>
      <c r="I29" s="131"/>
      <c r="J29" s="131"/>
      <c r="K29" s="131"/>
      <c r="L29" s="131"/>
      <c r="M29" s="131"/>
      <c r="N29" s="131"/>
    </row>
    <row r="30" spans="2:14" x14ac:dyDescent="0.25">
      <c r="B30" s="131"/>
      <c r="C30" s="131"/>
      <c r="D30" s="131"/>
      <c r="E30" s="131"/>
      <c r="F30" s="131"/>
      <c r="G30" s="131"/>
      <c r="H30" s="131"/>
      <c r="I30" s="131"/>
      <c r="J30" s="131"/>
      <c r="K30" s="131"/>
      <c r="L30" s="131"/>
      <c r="M30" s="131"/>
      <c r="N30" s="131"/>
    </row>
    <row r="31" spans="2:14" x14ac:dyDescent="0.25">
      <c r="B31" s="131"/>
      <c r="C31" s="131"/>
      <c r="D31" s="131"/>
      <c r="E31" s="131"/>
      <c r="F31" s="131"/>
      <c r="G31" s="131"/>
      <c r="H31" s="131"/>
      <c r="I31" s="131"/>
      <c r="J31" s="131"/>
      <c r="K31" s="131"/>
      <c r="L31" s="131"/>
      <c r="M31" s="131"/>
      <c r="N31" s="131"/>
    </row>
    <row r="32" spans="2:14" x14ac:dyDescent="0.25">
      <c r="B32" s="131"/>
      <c r="C32" s="131"/>
      <c r="D32" s="131"/>
      <c r="E32" s="131"/>
      <c r="F32" s="131"/>
      <c r="G32" s="131"/>
      <c r="H32" s="131"/>
      <c r="I32" s="131"/>
      <c r="J32" s="131"/>
      <c r="K32" s="131"/>
      <c r="L32" s="131"/>
      <c r="M32" s="131"/>
      <c r="N32" s="131"/>
    </row>
    <row r="33" spans="2:14" x14ac:dyDescent="0.25">
      <c r="B33" s="131"/>
      <c r="C33" s="131"/>
      <c r="D33" s="131"/>
      <c r="E33" s="131"/>
      <c r="F33" s="131"/>
      <c r="G33" s="131"/>
      <c r="H33" s="131"/>
      <c r="I33" s="131"/>
      <c r="J33" s="131"/>
      <c r="K33" s="131"/>
      <c r="L33" s="131"/>
      <c r="M33" s="131"/>
      <c r="N33" s="131"/>
    </row>
    <row r="34" spans="2:14" x14ac:dyDescent="0.25">
      <c r="B34" s="131"/>
      <c r="C34" s="131"/>
      <c r="D34" s="131"/>
      <c r="E34" s="131"/>
      <c r="F34" s="131"/>
      <c r="G34" s="131"/>
      <c r="H34" s="131"/>
      <c r="I34" s="131"/>
      <c r="J34" s="131"/>
      <c r="K34" s="131"/>
      <c r="L34" s="131"/>
      <c r="M34" s="131"/>
      <c r="N34" s="131"/>
    </row>
    <row r="35" spans="2:14" x14ac:dyDescent="0.25">
      <c r="B35" s="131"/>
      <c r="C35" s="131"/>
      <c r="D35" s="131"/>
      <c r="E35" s="131"/>
      <c r="F35" s="131"/>
      <c r="G35" s="131"/>
      <c r="H35" s="131"/>
      <c r="I35" s="131"/>
      <c r="J35" s="131"/>
      <c r="K35" s="131"/>
      <c r="L35" s="131"/>
      <c r="M35" s="131"/>
      <c r="N35" s="131"/>
    </row>
    <row r="36" spans="2:14" x14ac:dyDescent="0.25">
      <c r="B36" s="131"/>
      <c r="C36" s="131"/>
      <c r="D36" s="131"/>
      <c r="E36" s="131"/>
      <c r="F36" s="131"/>
      <c r="G36" s="131"/>
      <c r="H36" s="131"/>
      <c r="I36" s="131"/>
      <c r="J36" s="131"/>
      <c r="K36" s="131"/>
      <c r="L36" s="131"/>
      <c r="M36" s="131"/>
      <c r="N36" s="131"/>
    </row>
    <row r="37" spans="2:14" x14ac:dyDescent="0.25">
      <c r="B37" s="131"/>
      <c r="C37" s="131"/>
      <c r="D37" s="131"/>
      <c r="E37" s="131"/>
      <c r="F37" s="131"/>
      <c r="G37" s="131"/>
      <c r="H37" s="131"/>
      <c r="I37" s="131"/>
      <c r="J37" s="131"/>
      <c r="K37" s="131"/>
      <c r="L37" s="131"/>
      <c r="M37" s="131"/>
      <c r="N37" s="131"/>
    </row>
    <row r="38" spans="2:14" x14ac:dyDescent="0.25">
      <c r="B38" s="131"/>
      <c r="C38" s="131"/>
      <c r="D38" s="131"/>
      <c r="E38" s="131"/>
      <c r="F38" s="131"/>
      <c r="G38" s="131"/>
      <c r="H38" s="131"/>
      <c r="I38" s="131"/>
      <c r="J38" s="131"/>
      <c r="K38" s="131"/>
      <c r="L38" s="131"/>
      <c r="M38" s="131"/>
      <c r="N38" s="131"/>
    </row>
    <row r="39" spans="2:14" x14ac:dyDescent="0.25">
      <c r="B39" s="131"/>
      <c r="C39" s="131"/>
      <c r="D39" s="131"/>
      <c r="E39" s="131"/>
      <c r="F39" s="131"/>
      <c r="G39" s="131"/>
      <c r="H39" s="131"/>
      <c r="I39" s="131"/>
      <c r="J39" s="131"/>
      <c r="K39" s="131"/>
      <c r="L39" s="131"/>
      <c r="M39" s="131"/>
      <c r="N39" s="131"/>
    </row>
    <row r="40" spans="2:14" x14ac:dyDescent="0.25">
      <c r="B40" s="131"/>
      <c r="C40" s="131"/>
      <c r="D40" s="131"/>
      <c r="E40" s="131"/>
      <c r="F40" s="131"/>
      <c r="G40" s="131"/>
      <c r="H40" s="131"/>
      <c r="I40" s="131"/>
      <c r="J40" s="131"/>
      <c r="K40" s="131"/>
      <c r="L40" s="131"/>
      <c r="M40" s="131"/>
      <c r="N40" s="131"/>
    </row>
    <row r="41" spans="2:14" x14ac:dyDescent="0.25">
      <c r="B41" s="131"/>
      <c r="C41" s="131"/>
      <c r="D41" s="131"/>
      <c r="E41" s="131"/>
      <c r="F41" s="131"/>
      <c r="G41" s="131"/>
      <c r="H41" s="131"/>
      <c r="I41" s="131"/>
      <c r="J41" s="131"/>
      <c r="K41" s="131"/>
      <c r="L41" s="131"/>
      <c r="M41" s="131"/>
      <c r="N41" s="131"/>
    </row>
    <row r="42" spans="2:14" x14ac:dyDescent="0.25">
      <c r="B42" s="131"/>
      <c r="C42" s="131"/>
      <c r="D42" s="131"/>
      <c r="E42" s="131"/>
      <c r="F42" s="131"/>
      <c r="G42" s="131"/>
      <c r="H42" s="131"/>
      <c r="I42" s="131"/>
      <c r="J42" s="131"/>
      <c r="K42" s="131"/>
      <c r="L42" s="131"/>
      <c r="M42" s="131"/>
      <c r="N42" s="131"/>
    </row>
    <row r="43" spans="2:14" x14ac:dyDescent="0.25">
      <c r="B43" s="131"/>
      <c r="C43" s="131"/>
      <c r="D43" s="131"/>
      <c r="E43" s="131"/>
      <c r="F43" s="131"/>
      <c r="G43" s="131"/>
      <c r="H43" s="131"/>
      <c r="I43" s="131"/>
      <c r="J43" s="131"/>
      <c r="K43" s="131"/>
      <c r="L43" s="131"/>
      <c r="M43" s="131"/>
      <c r="N43" s="131"/>
    </row>
    <row r="44" spans="2:14" x14ac:dyDescent="0.25">
      <c r="B44" s="131"/>
      <c r="C44" s="131"/>
      <c r="D44" s="131"/>
      <c r="E44" s="131"/>
      <c r="F44" s="131"/>
      <c r="G44" s="131"/>
      <c r="H44" s="131"/>
      <c r="I44" s="131"/>
      <c r="J44" s="131"/>
      <c r="K44" s="131"/>
      <c r="L44" s="131"/>
      <c r="M44" s="131"/>
      <c r="N44" s="131"/>
    </row>
    <row r="45" spans="2:14" x14ac:dyDescent="0.25">
      <c r="B45" s="131"/>
      <c r="C45" s="131"/>
      <c r="D45" s="131"/>
      <c r="E45" s="131"/>
      <c r="F45" s="131"/>
      <c r="G45" s="131"/>
      <c r="H45" s="131"/>
      <c r="I45" s="131"/>
      <c r="J45" s="131"/>
      <c r="K45" s="131"/>
      <c r="L45" s="131"/>
      <c r="M45" s="131"/>
      <c r="N45" s="131"/>
    </row>
    <row r="46" spans="2:14" x14ac:dyDescent="0.25">
      <c r="B46" s="131"/>
      <c r="C46" s="131"/>
      <c r="D46" s="131"/>
      <c r="E46" s="131"/>
      <c r="F46" s="131"/>
      <c r="G46" s="131"/>
      <c r="H46" s="131"/>
      <c r="I46" s="131"/>
      <c r="J46" s="131"/>
      <c r="K46" s="131"/>
      <c r="L46" s="131"/>
      <c r="M46" s="131"/>
      <c r="N46" s="131"/>
    </row>
    <row r="47" spans="2:14" x14ac:dyDescent="0.25">
      <c r="B47" s="131"/>
      <c r="C47" s="131"/>
      <c r="D47" s="131"/>
      <c r="E47" s="131"/>
      <c r="F47" s="131"/>
      <c r="G47" s="131"/>
      <c r="H47" s="131"/>
      <c r="I47" s="131"/>
      <c r="J47" s="131"/>
      <c r="K47" s="131"/>
      <c r="L47" s="131"/>
      <c r="M47" s="131"/>
      <c r="N47" s="131"/>
    </row>
    <row r="48" spans="2:14" x14ac:dyDescent="0.25">
      <c r="B48" s="131"/>
      <c r="C48" s="131"/>
      <c r="D48" s="131"/>
      <c r="E48" s="131"/>
      <c r="F48" s="131"/>
      <c r="G48" s="131"/>
      <c r="H48" s="131"/>
      <c r="I48" s="131"/>
      <c r="J48" s="131"/>
      <c r="K48" s="131"/>
      <c r="L48" s="131"/>
      <c r="M48" s="131"/>
      <c r="N48" s="131"/>
    </row>
    <row r="49" spans="2:14" x14ac:dyDescent="0.25">
      <c r="B49" s="131"/>
      <c r="C49" s="131"/>
      <c r="D49" s="131"/>
      <c r="E49" s="131"/>
      <c r="F49" s="131"/>
      <c r="G49" s="131"/>
      <c r="H49" s="131"/>
      <c r="I49" s="131"/>
      <c r="J49" s="131"/>
      <c r="K49" s="131"/>
      <c r="L49" s="131"/>
      <c r="M49" s="131"/>
      <c r="N49" s="131"/>
    </row>
    <row r="50" spans="2:14" x14ac:dyDescent="0.25">
      <c r="B50" s="131"/>
      <c r="C50" s="131"/>
      <c r="D50" s="131"/>
      <c r="E50" s="131"/>
      <c r="F50" s="131"/>
      <c r="G50" s="131"/>
      <c r="H50" s="131"/>
      <c r="I50" s="131"/>
      <c r="J50" s="131"/>
      <c r="K50" s="131"/>
      <c r="L50" s="131"/>
      <c r="M50" s="131"/>
      <c r="N50" s="131"/>
    </row>
    <row r="51" spans="2:14" x14ac:dyDescent="0.25">
      <c r="B51" s="131"/>
      <c r="C51" s="131"/>
      <c r="D51" s="131"/>
      <c r="E51" s="131"/>
      <c r="F51" s="131"/>
      <c r="G51" s="131"/>
      <c r="H51" s="131"/>
      <c r="I51" s="131"/>
      <c r="J51" s="131"/>
      <c r="K51" s="131"/>
      <c r="L51" s="131"/>
      <c r="M51" s="131"/>
      <c r="N51" s="131"/>
    </row>
    <row r="52" spans="2:14" x14ac:dyDescent="0.25">
      <c r="B52" s="131"/>
      <c r="C52" s="131"/>
      <c r="D52" s="131"/>
      <c r="E52" s="131"/>
      <c r="F52" s="131"/>
      <c r="G52" s="131"/>
      <c r="H52" s="131"/>
      <c r="I52" s="131"/>
      <c r="J52" s="131"/>
      <c r="K52" s="131"/>
      <c r="L52" s="131"/>
      <c r="M52" s="131"/>
      <c r="N52" s="131"/>
    </row>
    <row r="53" spans="2:14" x14ac:dyDescent="0.25">
      <c r="B53" s="131"/>
      <c r="C53" s="131"/>
      <c r="D53" s="131"/>
      <c r="E53" s="131"/>
      <c r="F53" s="131"/>
      <c r="G53" s="131"/>
      <c r="H53" s="131"/>
      <c r="I53" s="131"/>
      <c r="J53" s="131"/>
      <c r="K53" s="131"/>
      <c r="L53" s="131"/>
      <c r="M53" s="131"/>
      <c r="N53" s="131"/>
    </row>
    <row r="54" spans="2:14" x14ac:dyDescent="0.25">
      <c r="B54" s="131"/>
      <c r="C54" s="131"/>
      <c r="D54" s="131"/>
      <c r="E54" s="131"/>
      <c r="F54" s="131"/>
      <c r="G54" s="131"/>
      <c r="H54" s="131"/>
      <c r="I54" s="131"/>
      <c r="J54" s="131"/>
      <c r="K54" s="131"/>
      <c r="L54" s="131"/>
      <c r="M54" s="131"/>
      <c r="N54" s="131"/>
    </row>
    <row r="55" spans="2:14" x14ac:dyDescent="0.25">
      <c r="B55" s="131"/>
      <c r="C55" s="131"/>
      <c r="D55" s="131"/>
      <c r="E55" s="131"/>
      <c r="F55" s="131"/>
      <c r="G55" s="131"/>
      <c r="H55" s="131"/>
      <c r="I55" s="131"/>
      <c r="J55" s="131"/>
      <c r="K55" s="131"/>
      <c r="L55" s="131"/>
      <c r="M55" s="131"/>
      <c r="N55" s="131"/>
    </row>
    <row r="56" spans="2:14" x14ac:dyDescent="0.25">
      <c r="B56" s="131"/>
      <c r="C56" s="131"/>
      <c r="D56" s="131"/>
      <c r="E56" s="131"/>
      <c r="F56" s="131"/>
      <c r="G56" s="131"/>
      <c r="H56" s="131"/>
      <c r="I56" s="131"/>
      <c r="J56" s="131"/>
      <c r="K56" s="131"/>
      <c r="L56" s="131"/>
      <c r="M56" s="131"/>
      <c r="N56" s="131"/>
    </row>
    <row r="57" spans="2:14" x14ac:dyDescent="0.25">
      <c r="B57" s="131"/>
      <c r="C57" s="131"/>
      <c r="D57" s="131"/>
      <c r="E57" s="131"/>
      <c r="F57" s="131"/>
      <c r="G57" s="131"/>
      <c r="H57" s="131"/>
      <c r="I57" s="131"/>
      <c r="J57" s="131"/>
      <c r="K57" s="131"/>
      <c r="L57" s="131"/>
      <c r="M57" s="131"/>
      <c r="N57" s="131"/>
    </row>
    <row r="58" spans="2:14" x14ac:dyDescent="0.25">
      <c r="B58" s="131"/>
      <c r="C58" s="131"/>
      <c r="D58" s="131"/>
      <c r="E58" s="131"/>
      <c r="F58" s="131"/>
      <c r="G58" s="131"/>
      <c r="H58" s="131"/>
      <c r="I58" s="131"/>
      <c r="J58" s="131"/>
      <c r="K58" s="131"/>
      <c r="L58" s="131"/>
      <c r="M58" s="131"/>
      <c r="N58" s="131"/>
    </row>
    <row r="59" spans="2:14" x14ac:dyDescent="0.25">
      <c r="B59" s="131"/>
      <c r="C59" s="131"/>
      <c r="D59" s="131"/>
      <c r="E59" s="131"/>
      <c r="F59" s="131"/>
      <c r="G59" s="131"/>
      <c r="H59" s="131"/>
      <c r="I59" s="131"/>
      <c r="J59" s="131"/>
      <c r="K59" s="131"/>
      <c r="L59" s="131"/>
      <c r="M59" s="131"/>
      <c r="N59" s="131"/>
    </row>
    <row r="60" spans="2:14" x14ac:dyDescent="0.25">
      <c r="B60" s="131"/>
      <c r="C60" s="131"/>
      <c r="D60" s="131"/>
      <c r="E60" s="131"/>
      <c r="F60" s="131"/>
      <c r="G60" s="131"/>
      <c r="H60" s="131"/>
      <c r="I60" s="131"/>
      <c r="J60" s="131"/>
      <c r="K60" s="131"/>
      <c r="L60" s="131"/>
      <c r="M60" s="131"/>
      <c r="N60" s="131"/>
    </row>
    <row r="61" spans="2:14" x14ac:dyDescent="0.25">
      <c r="B61" s="131"/>
      <c r="C61" s="131"/>
      <c r="D61" s="131"/>
      <c r="E61" s="131"/>
      <c r="F61" s="131"/>
      <c r="G61" s="131"/>
      <c r="H61" s="131"/>
      <c r="I61" s="131"/>
      <c r="J61" s="131"/>
      <c r="K61" s="131"/>
      <c r="L61" s="131"/>
      <c r="M61" s="131"/>
      <c r="N61" s="131"/>
    </row>
    <row r="62" spans="2:14" x14ac:dyDescent="0.25">
      <c r="B62" s="131"/>
      <c r="C62" s="131"/>
      <c r="D62" s="131"/>
      <c r="E62" s="131"/>
      <c r="F62" s="131"/>
      <c r="G62" s="131"/>
      <c r="H62" s="131"/>
      <c r="I62" s="131"/>
      <c r="J62" s="131"/>
      <c r="K62" s="131"/>
      <c r="L62" s="131"/>
      <c r="M62" s="131"/>
      <c r="N62" s="131"/>
    </row>
    <row r="63" spans="2:14" x14ac:dyDescent="0.25">
      <c r="B63" s="131"/>
      <c r="C63" s="131"/>
      <c r="D63" s="131"/>
      <c r="E63" s="131"/>
      <c r="F63" s="131"/>
      <c r="G63" s="131"/>
      <c r="H63" s="131"/>
      <c r="I63" s="131"/>
      <c r="J63" s="131"/>
      <c r="K63" s="131"/>
      <c r="L63" s="131"/>
      <c r="M63" s="131"/>
      <c r="N63" s="131"/>
    </row>
    <row r="64" spans="2:14" x14ac:dyDescent="0.25">
      <c r="B64" s="129" t="s">
        <v>63</v>
      </c>
      <c r="C64" s="129"/>
      <c r="D64" s="129"/>
      <c r="E64" s="129"/>
      <c r="F64" s="129"/>
      <c r="G64" s="129"/>
      <c r="H64" s="129"/>
      <c r="I64" s="129"/>
      <c r="J64" s="129"/>
      <c r="K64" s="129"/>
      <c r="L64" s="129"/>
      <c r="M64" s="129"/>
      <c r="N64" s="129"/>
    </row>
    <row r="65" spans="2:14" ht="4.5" customHeight="1" x14ac:dyDescent="0.25">
      <c r="B65" s="130"/>
      <c r="C65" s="130"/>
      <c r="D65" s="130"/>
      <c r="E65" s="130"/>
      <c r="F65" s="130"/>
      <c r="G65" s="130"/>
      <c r="H65" s="130"/>
      <c r="I65" s="130"/>
      <c r="J65" s="130"/>
      <c r="K65" s="130"/>
      <c r="L65" s="130"/>
      <c r="M65" s="130"/>
      <c r="N65" s="130"/>
    </row>
    <row r="66" spans="2:14" x14ac:dyDescent="0.25">
      <c r="B66" s="131"/>
      <c r="C66" s="131"/>
      <c r="D66" s="131"/>
      <c r="E66" s="131"/>
      <c r="F66" s="131"/>
      <c r="G66" s="131"/>
      <c r="H66" s="131"/>
      <c r="I66" s="131"/>
      <c r="J66" s="131"/>
      <c r="K66" s="131"/>
      <c r="L66" s="131"/>
      <c r="M66" s="131"/>
      <c r="N66" s="131"/>
    </row>
    <row r="67" spans="2:14" ht="61.5" customHeight="1" x14ac:dyDescent="0.25">
      <c r="B67" s="134" t="s">
        <v>66</v>
      </c>
      <c r="C67" s="134"/>
      <c r="D67" s="134"/>
      <c r="E67" s="134"/>
      <c r="F67" s="134"/>
      <c r="G67" s="134"/>
      <c r="H67" s="134"/>
      <c r="I67" s="134"/>
      <c r="J67" s="134"/>
      <c r="K67" s="134"/>
      <c r="L67" s="134"/>
      <c r="M67" s="134"/>
      <c r="N67" s="134"/>
    </row>
    <row r="68" spans="2:14" x14ac:dyDescent="0.25">
      <c r="B68" s="131"/>
      <c r="C68" s="131"/>
      <c r="D68" s="131"/>
      <c r="E68" s="131"/>
      <c r="F68" s="131"/>
      <c r="G68" s="131"/>
      <c r="H68" s="131"/>
      <c r="I68" s="131"/>
      <c r="J68" s="131"/>
      <c r="K68" s="131"/>
      <c r="L68" s="131"/>
      <c r="M68" s="131"/>
      <c r="N68" s="131"/>
    </row>
    <row r="69" spans="2:14" x14ac:dyDescent="0.25">
      <c r="B69" s="131"/>
      <c r="C69" s="131"/>
      <c r="D69" s="131"/>
      <c r="E69" s="131"/>
      <c r="F69" s="131"/>
      <c r="G69" s="131"/>
      <c r="H69" s="131"/>
      <c r="I69" s="131"/>
      <c r="J69" s="131"/>
      <c r="K69" s="131"/>
      <c r="L69" s="131"/>
      <c r="M69" s="131"/>
      <c r="N69" s="131"/>
    </row>
    <row r="70" spans="2:14" x14ac:dyDescent="0.25">
      <c r="B70" s="131"/>
      <c r="C70" s="131"/>
      <c r="D70" s="131"/>
      <c r="E70" s="131"/>
      <c r="F70" s="131"/>
      <c r="G70" s="131"/>
      <c r="H70" s="131"/>
      <c r="I70" s="131"/>
      <c r="J70" s="131"/>
      <c r="K70" s="131"/>
      <c r="L70" s="131"/>
      <c r="M70" s="131"/>
      <c r="N70" s="131"/>
    </row>
    <row r="71" spans="2:14" x14ac:dyDescent="0.25">
      <c r="B71" s="131"/>
      <c r="C71" s="131"/>
      <c r="D71" s="131"/>
      <c r="E71" s="131"/>
      <c r="F71" s="131"/>
      <c r="G71" s="131"/>
      <c r="H71" s="131"/>
      <c r="I71" s="131"/>
      <c r="J71" s="131"/>
      <c r="K71" s="131"/>
      <c r="L71" s="131"/>
      <c r="M71" s="131"/>
      <c r="N71" s="131"/>
    </row>
    <row r="72" spans="2:14" x14ac:dyDescent="0.25">
      <c r="B72" s="131"/>
      <c r="C72" s="131"/>
      <c r="D72" s="131"/>
      <c r="E72" s="131"/>
      <c r="F72" s="131"/>
      <c r="G72" s="131"/>
      <c r="H72" s="131"/>
      <c r="I72" s="131"/>
      <c r="J72" s="131"/>
      <c r="K72" s="131"/>
      <c r="L72" s="131"/>
      <c r="M72" s="131"/>
      <c r="N72" s="131"/>
    </row>
    <row r="73" spans="2:14" x14ac:dyDescent="0.25">
      <c r="B73" s="131"/>
      <c r="C73" s="131"/>
      <c r="D73" s="131"/>
      <c r="E73" s="131"/>
      <c r="F73" s="131"/>
      <c r="G73" s="131"/>
      <c r="H73" s="131"/>
      <c r="I73" s="131"/>
      <c r="J73" s="131"/>
      <c r="K73" s="131"/>
      <c r="L73" s="131"/>
      <c r="M73" s="131"/>
      <c r="N73" s="131"/>
    </row>
    <row r="74" spans="2:14" x14ac:dyDescent="0.25">
      <c r="B74" s="131"/>
      <c r="C74" s="131"/>
      <c r="D74" s="131"/>
      <c r="E74" s="131"/>
      <c r="F74" s="131"/>
      <c r="G74" s="131"/>
      <c r="H74" s="131"/>
      <c r="I74" s="131"/>
      <c r="J74" s="131"/>
      <c r="K74" s="131"/>
      <c r="L74" s="131"/>
      <c r="M74" s="131"/>
      <c r="N74" s="131"/>
    </row>
    <row r="75" spans="2:14" x14ac:dyDescent="0.25">
      <c r="B75" s="131"/>
      <c r="C75" s="131"/>
      <c r="D75" s="131"/>
      <c r="E75" s="131"/>
      <c r="F75" s="131"/>
      <c r="G75" s="131"/>
      <c r="H75" s="131"/>
      <c r="I75" s="131"/>
      <c r="J75" s="131"/>
      <c r="K75" s="131"/>
      <c r="L75" s="131"/>
      <c r="M75" s="131"/>
      <c r="N75" s="131"/>
    </row>
    <row r="76" spans="2:14" x14ac:dyDescent="0.25">
      <c r="B76" s="131"/>
      <c r="C76" s="131"/>
      <c r="D76" s="131"/>
      <c r="E76" s="131"/>
      <c r="F76" s="131"/>
      <c r="G76" s="131"/>
      <c r="H76" s="131"/>
      <c r="I76" s="131"/>
      <c r="J76" s="131"/>
      <c r="K76" s="131"/>
      <c r="L76" s="131"/>
      <c r="M76" s="131"/>
      <c r="N76" s="131"/>
    </row>
    <row r="77" spans="2:14" x14ac:dyDescent="0.25">
      <c r="B77" s="131"/>
      <c r="C77" s="131"/>
      <c r="D77" s="131"/>
      <c r="E77" s="131"/>
      <c r="F77" s="131"/>
      <c r="G77" s="131"/>
      <c r="H77" s="131"/>
      <c r="I77" s="131"/>
      <c r="J77" s="131"/>
      <c r="K77" s="131"/>
      <c r="L77" s="131"/>
      <c r="M77" s="131"/>
      <c r="N77" s="131"/>
    </row>
    <row r="78" spans="2:14" x14ac:dyDescent="0.25">
      <c r="B78" s="131"/>
      <c r="C78" s="131"/>
      <c r="D78" s="131"/>
      <c r="E78" s="131"/>
      <c r="F78" s="131"/>
      <c r="G78" s="131"/>
      <c r="H78" s="131"/>
      <c r="I78" s="131"/>
      <c r="J78" s="131"/>
      <c r="K78" s="131"/>
      <c r="L78" s="131"/>
      <c r="M78" s="131"/>
      <c r="N78" s="131"/>
    </row>
    <row r="79" spans="2:14" x14ac:dyDescent="0.25">
      <c r="B79" s="131"/>
      <c r="C79" s="131"/>
      <c r="D79" s="131"/>
      <c r="E79" s="131"/>
      <c r="F79" s="131"/>
      <c r="G79" s="131"/>
      <c r="H79" s="131"/>
      <c r="I79" s="131"/>
      <c r="J79" s="131"/>
      <c r="K79" s="131"/>
      <c r="L79" s="131"/>
      <c r="M79" s="131"/>
      <c r="N79" s="131"/>
    </row>
    <row r="80" spans="2:14" x14ac:dyDescent="0.25">
      <c r="B80" s="131"/>
      <c r="C80" s="131"/>
      <c r="D80" s="131"/>
      <c r="E80" s="131"/>
      <c r="F80" s="131"/>
      <c r="G80" s="131"/>
      <c r="H80" s="131"/>
      <c r="I80" s="131"/>
      <c r="J80" s="131"/>
      <c r="K80" s="131"/>
      <c r="L80" s="131"/>
      <c r="M80" s="131"/>
      <c r="N80" s="131"/>
    </row>
    <row r="81" spans="2:14" x14ac:dyDescent="0.25">
      <c r="B81" s="131"/>
      <c r="C81" s="131"/>
      <c r="D81" s="131"/>
      <c r="E81" s="131"/>
      <c r="F81" s="131"/>
      <c r="G81" s="131"/>
      <c r="H81" s="131"/>
      <c r="I81" s="131"/>
      <c r="J81" s="131"/>
      <c r="K81" s="131"/>
      <c r="L81" s="131"/>
      <c r="M81" s="131"/>
      <c r="N81" s="131"/>
    </row>
    <row r="82" spans="2:14" x14ac:dyDescent="0.25">
      <c r="B82" s="131"/>
      <c r="C82" s="131"/>
      <c r="D82" s="131"/>
      <c r="E82" s="131"/>
      <c r="F82" s="131"/>
      <c r="G82" s="131"/>
      <c r="H82" s="131"/>
      <c r="I82" s="131"/>
      <c r="J82" s="131"/>
      <c r="K82" s="131"/>
      <c r="L82" s="131"/>
      <c r="M82" s="131"/>
      <c r="N82" s="131"/>
    </row>
    <row r="83" spans="2:14" x14ac:dyDescent="0.25">
      <c r="B83" s="131"/>
      <c r="C83" s="131"/>
      <c r="D83" s="131"/>
      <c r="E83" s="131"/>
      <c r="F83" s="131"/>
      <c r="G83" s="131"/>
      <c r="H83" s="131"/>
      <c r="I83" s="131"/>
      <c r="J83" s="131"/>
      <c r="K83" s="131"/>
      <c r="L83" s="131"/>
      <c r="M83" s="131"/>
      <c r="N83" s="131"/>
    </row>
    <row r="84" spans="2:14" x14ac:dyDescent="0.25">
      <c r="B84" s="131"/>
      <c r="C84" s="131"/>
      <c r="D84" s="131"/>
      <c r="E84" s="131"/>
      <c r="F84" s="131"/>
      <c r="G84" s="131"/>
      <c r="H84" s="131"/>
      <c r="I84" s="131"/>
      <c r="J84" s="131"/>
      <c r="K84" s="131"/>
      <c r="L84" s="131"/>
      <c r="M84" s="131"/>
      <c r="N84" s="131"/>
    </row>
    <row r="85" spans="2:14" x14ac:dyDescent="0.25">
      <c r="B85" s="131"/>
      <c r="C85" s="131"/>
      <c r="D85" s="131"/>
      <c r="E85" s="131"/>
      <c r="F85" s="131"/>
      <c r="G85" s="131"/>
      <c r="H85" s="131"/>
      <c r="I85" s="131"/>
      <c r="J85" s="131"/>
      <c r="K85" s="131"/>
      <c r="L85" s="131"/>
      <c r="M85" s="131"/>
      <c r="N85" s="131"/>
    </row>
    <row r="86" spans="2:14" x14ac:dyDescent="0.25">
      <c r="B86" s="131"/>
      <c r="C86" s="131"/>
      <c r="D86" s="131"/>
      <c r="E86" s="131"/>
      <c r="F86" s="131"/>
      <c r="G86" s="131"/>
      <c r="H86" s="131"/>
      <c r="I86" s="131"/>
      <c r="J86" s="131"/>
      <c r="K86" s="131"/>
      <c r="L86" s="131"/>
      <c r="M86" s="131"/>
      <c r="N86" s="131"/>
    </row>
    <row r="87" spans="2:14" x14ac:dyDescent="0.25">
      <c r="B87" s="131"/>
      <c r="C87" s="131"/>
      <c r="D87" s="131"/>
      <c r="E87" s="131"/>
      <c r="F87" s="131"/>
      <c r="G87" s="131"/>
      <c r="H87" s="131"/>
      <c r="I87" s="131"/>
      <c r="J87" s="131"/>
      <c r="K87" s="131"/>
      <c r="L87" s="131"/>
      <c r="M87" s="131"/>
      <c r="N87" s="131"/>
    </row>
    <row r="88" spans="2:14" x14ac:dyDescent="0.25">
      <c r="B88" s="131"/>
      <c r="C88" s="131"/>
      <c r="D88" s="131"/>
      <c r="E88" s="131"/>
      <c r="F88" s="131"/>
      <c r="G88" s="131"/>
      <c r="H88" s="131"/>
      <c r="I88" s="131"/>
      <c r="J88" s="131"/>
      <c r="K88" s="131"/>
      <c r="L88" s="131"/>
      <c r="M88" s="131"/>
      <c r="N88" s="131"/>
    </row>
    <row r="89" spans="2:14" x14ac:dyDescent="0.25">
      <c r="B89" s="131"/>
      <c r="C89" s="131"/>
      <c r="D89" s="131"/>
      <c r="E89" s="131"/>
      <c r="F89" s="131"/>
      <c r="G89" s="131"/>
      <c r="H89" s="131"/>
      <c r="I89" s="131"/>
      <c r="J89" s="131"/>
      <c r="K89" s="131"/>
      <c r="L89" s="131"/>
      <c r="M89" s="131"/>
      <c r="N89" s="131"/>
    </row>
    <row r="90" spans="2:14" x14ac:dyDescent="0.25">
      <c r="B90" s="131"/>
      <c r="C90" s="131"/>
      <c r="D90" s="131"/>
      <c r="E90" s="131"/>
      <c r="F90" s="131"/>
      <c r="G90" s="131"/>
      <c r="H90" s="131"/>
      <c r="I90" s="131"/>
      <c r="J90" s="131"/>
      <c r="K90" s="131"/>
      <c r="L90" s="131"/>
      <c r="M90" s="131"/>
      <c r="N90" s="131"/>
    </row>
    <row r="91" spans="2:14" x14ac:dyDescent="0.25">
      <c r="B91" s="131"/>
      <c r="C91" s="131"/>
      <c r="D91" s="131"/>
      <c r="E91" s="131"/>
      <c r="F91" s="131"/>
      <c r="G91" s="131"/>
      <c r="H91" s="131"/>
      <c r="I91" s="131"/>
      <c r="J91" s="131"/>
      <c r="K91" s="131"/>
      <c r="L91" s="131"/>
      <c r="M91" s="131"/>
      <c r="N91" s="131"/>
    </row>
    <row r="92" spans="2:14" x14ac:dyDescent="0.25">
      <c r="B92" s="131"/>
      <c r="C92" s="131"/>
      <c r="D92" s="131"/>
      <c r="E92" s="131"/>
      <c r="F92" s="131"/>
      <c r="G92" s="131"/>
      <c r="H92" s="131"/>
      <c r="I92" s="131"/>
      <c r="J92" s="131"/>
      <c r="K92" s="131"/>
      <c r="L92" s="131"/>
      <c r="M92" s="131"/>
      <c r="N92" s="131"/>
    </row>
    <row r="93" spans="2:14" x14ac:dyDescent="0.25">
      <c r="B93" s="131"/>
      <c r="C93" s="131"/>
      <c r="D93" s="131"/>
      <c r="E93" s="131"/>
      <c r="F93" s="131"/>
      <c r="G93" s="131"/>
      <c r="H93" s="131"/>
      <c r="I93" s="131"/>
      <c r="J93" s="131"/>
      <c r="K93" s="131"/>
      <c r="L93" s="131"/>
      <c r="M93" s="131"/>
      <c r="N93" s="131"/>
    </row>
    <row r="94" spans="2:14" x14ac:dyDescent="0.25">
      <c r="B94" s="131"/>
      <c r="C94" s="131"/>
      <c r="D94" s="131"/>
      <c r="E94" s="131"/>
      <c r="F94" s="131"/>
      <c r="G94" s="131"/>
      <c r="H94" s="131"/>
      <c r="I94" s="131"/>
      <c r="J94" s="131"/>
      <c r="K94" s="131"/>
      <c r="L94" s="131"/>
      <c r="M94" s="131"/>
      <c r="N94" s="131"/>
    </row>
    <row r="95" spans="2:14" x14ac:dyDescent="0.25">
      <c r="B95" s="131"/>
      <c r="C95" s="131"/>
      <c r="D95" s="131"/>
      <c r="E95" s="131"/>
      <c r="F95" s="131"/>
      <c r="G95" s="131"/>
      <c r="H95" s="131"/>
      <c r="I95" s="131"/>
      <c r="J95" s="131"/>
      <c r="K95" s="131"/>
      <c r="L95" s="131"/>
      <c r="M95" s="131"/>
      <c r="N95" s="131"/>
    </row>
    <row r="96" spans="2:14" x14ac:dyDescent="0.25">
      <c r="B96" s="131"/>
      <c r="C96" s="131"/>
      <c r="D96" s="131"/>
      <c r="E96" s="131"/>
      <c r="F96" s="131"/>
      <c r="G96" s="131"/>
      <c r="H96" s="131"/>
      <c r="I96" s="131"/>
      <c r="J96" s="131"/>
      <c r="K96" s="131"/>
      <c r="L96" s="131"/>
      <c r="M96" s="131"/>
      <c r="N96" s="131"/>
    </row>
    <row r="97" spans="2:14" x14ac:dyDescent="0.25">
      <c r="B97" s="131"/>
      <c r="C97" s="131"/>
      <c r="D97" s="131"/>
      <c r="E97" s="131"/>
      <c r="F97" s="131"/>
      <c r="G97" s="131"/>
      <c r="H97" s="131"/>
      <c r="I97" s="131"/>
      <c r="J97" s="131"/>
      <c r="K97" s="131"/>
      <c r="L97" s="131"/>
      <c r="M97" s="131"/>
      <c r="N97" s="131"/>
    </row>
    <row r="98" spans="2:14" x14ac:dyDescent="0.25">
      <c r="B98" s="131"/>
      <c r="C98" s="131"/>
      <c r="D98" s="131"/>
      <c r="E98" s="131"/>
      <c r="F98" s="131"/>
      <c r="G98" s="131"/>
      <c r="H98" s="131"/>
      <c r="I98" s="131"/>
      <c r="J98" s="131"/>
      <c r="K98" s="131"/>
      <c r="L98" s="131"/>
      <c r="M98" s="131"/>
      <c r="N98" s="131"/>
    </row>
    <row r="99" spans="2:14" x14ac:dyDescent="0.25">
      <c r="B99" s="131"/>
      <c r="C99" s="131"/>
      <c r="D99" s="131"/>
      <c r="E99" s="131"/>
      <c r="F99" s="131"/>
      <c r="G99" s="131"/>
      <c r="H99" s="131"/>
      <c r="I99" s="131"/>
      <c r="J99" s="131"/>
      <c r="K99" s="131"/>
      <c r="L99" s="131"/>
      <c r="M99" s="131"/>
      <c r="N99" s="131"/>
    </row>
    <row r="100" spans="2:14" x14ac:dyDescent="0.25">
      <c r="B100" s="131"/>
      <c r="C100" s="131"/>
      <c r="D100" s="131"/>
      <c r="E100" s="131"/>
      <c r="F100" s="131"/>
      <c r="G100" s="131"/>
      <c r="H100" s="131"/>
      <c r="I100" s="131"/>
      <c r="J100" s="131"/>
      <c r="K100" s="131"/>
      <c r="L100" s="131"/>
      <c r="M100" s="131"/>
      <c r="N100" s="131"/>
    </row>
    <row r="101" spans="2:14" x14ac:dyDescent="0.25">
      <c r="B101" s="131"/>
      <c r="C101" s="131"/>
      <c r="D101" s="131"/>
      <c r="E101" s="131"/>
      <c r="F101" s="131"/>
      <c r="G101" s="131"/>
      <c r="H101" s="131"/>
      <c r="I101" s="131"/>
      <c r="J101" s="131"/>
      <c r="K101" s="131"/>
      <c r="L101" s="131"/>
      <c r="M101" s="131"/>
      <c r="N101" s="131"/>
    </row>
    <row r="102" spans="2:14" x14ac:dyDescent="0.25">
      <c r="B102" s="131"/>
      <c r="C102" s="131"/>
      <c r="D102" s="131"/>
      <c r="E102" s="131"/>
      <c r="F102" s="131"/>
      <c r="G102" s="131"/>
      <c r="H102" s="131"/>
      <c r="I102" s="131"/>
      <c r="J102" s="131"/>
      <c r="K102" s="131"/>
      <c r="L102" s="131"/>
      <c r="M102" s="131"/>
      <c r="N102" s="131"/>
    </row>
    <row r="103" spans="2:14" x14ac:dyDescent="0.25">
      <c r="B103" s="129" t="s">
        <v>62</v>
      </c>
      <c r="C103" s="129"/>
      <c r="D103" s="129"/>
      <c r="E103" s="129"/>
      <c r="F103" s="129"/>
      <c r="G103" s="129"/>
      <c r="H103" s="129"/>
      <c r="I103" s="129"/>
      <c r="J103" s="129"/>
      <c r="K103" s="129"/>
      <c r="L103" s="129"/>
      <c r="M103" s="129"/>
      <c r="N103" s="129"/>
    </row>
    <row r="104" spans="2:14" ht="4.5" customHeight="1" x14ac:dyDescent="0.25">
      <c r="B104" s="130"/>
      <c r="C104" s="130"/>
      <c r="D104" s="130"/>
      <c r="E104" s="130"/>
      <c r="F104" s="130"/>
      <c r="G104" s="130"/>
      <c r="H104" s="130"/>
      <c r="I104" s="130"/>
      <c r="J104" s="130"/>
      <c r="K104" s="130"/>
      <c r="L104" s="130"/>
      <c r="M104" s="130"/>
      <c r="N104" s="130"/>
    </row>
    <row r="105" spans="2:14" x14ac:dyDescent="0.25">
      <c r="B105" s="131"/>
      <c r="C105" s="131"/>
      <c r="D105" s="131"/>
      <c r="E105" s="131"/>
      <c r="F105" s="131"/>
      <c r="G105" s="131"/>
      <c r="H105" s="131"/>
      <c r="I105" s="131"/>
      <c r="J105" s="131"/>
      <c r="K105" s="131"/>
      <c r="L105" s="131"/>
      <c r="M105" s="131"/>
      <c r="N105" s="131"/>
    </row>
    <row r="106" spans="2:14" x14ac:dyDescent="0.25">
      <c r="B106" s="134" t="s">
        <v>59</v>
      </c>
      <c r="C106" s="134"/>
      <c r="D106" s="134"/>
      <c r="E106" s="134"/>
      <c r="F106" s="134"/>
      <c r="G106" s="134"/>
      <c r="H106" s="134"/>
      <c r="I106" s="134"/>
      <c r="J106" s="134"/>
      <c r="K106" s="134"/>
      <c r="L106" s="134"/>
      <c r="M106" s="134"/>
      <c r="N106" s="134"/>
    </row>
    <row r="107" spans="2:14" x14ac:dyDescent="0.25">
      <c r="B107" s="131"/>
      <c r="C107" s="131"/>
      <c r="D107" s="131"/>
      <c r="E107" s="131"/>
      <c r="F107" s="131"/>
      <c r="G107" s="131"/>
      <c r="H107" s="131"/>
      <c r="I107" s="131"/>
      <c r="J107" s="131"/>
      <c r="K107" s="131"/>
      <c r="L107" s="131"/>
      <c r="M107" s="131"/>
      <c r="N107" s="131"/>
    </row>
    <row r="108" spans="2:14" x14ac:dyDescent="0.25">
      <c r="B108" s="131"/>
      <c r="C108" s="131"/>
      <c r="D108" s="131"/>
      <c r="E108" s="131"/>
      <c r="F108" s="131"/>
      <c r="G108" s="131"/>
      <c r="H108" s="131"/>
      <c r="I108" s="131"/>
      <c r="J108" s="131"/>
      <c r="K108" s="131"/>
      <c r="L108" s="131"/>
      <c r="M108" s="131"/>
      <c r="N108" s="131"/>
    </row>
    <row r="109" spans="2:14" x14ac:dyDescent="0.25">
      <c r="B109" s="131"/>
      <c r="C109" s="131"/>
      <c r="D109" s="131"/>
      <c r="E109" s="131"/>
      <c r="F109" s="131"/>
      <c r="G109" s="131"/>
      <c r="H109" s="131"/>
      <c r="I109" s="131"/>
      <c r="J109" s="131"/>
      <c r="K109" s="131"/>
      <c r="L109" s="131"/>
      <c r="M109" s="131"/>
      <c r="N109" s="131"/>
    </row>
    <row r="110" spans="2:14" x14ac:dyDescent="0.25">
      <c r="B110" s="131"/>
      <c r="C110" s="131"/>
      <c r="D110" s="131"/>
      <c r="E110" s="131"/>
      <c r="F110" s="131"/>
      <c r="G110" s="131"/>
      <c r="H110" s="131"/>
      <c r="I110" s="131"/>
      <c r="J110" s="131"/>
      <c r="K110" s="131"/>
      <c r="L110" s="131"/>
      <c r="M110" s="131"/>
      <c r="N110" s="131"/>
    </row>
    <row r="111" spans="2:14" x14ac:dyDescent="0.25">
      <c r="B111" s="131"/>
      <c r="C111" s="131"/>
      <c r="D111" s="131"/>
      <c r="E111" s="131"/>
      <c r="F111" s="131"/>
      <c r="G111" s="131"/>
      <c r="H111" s="131"/>
      <c r="I111" s="131"/>
      <c r="J111" s="131"/>
      <c r="K111" s="131"/>
      <c r="L111" s="131"/>
      <c r="M111" s="131"/>
      <c r="N111" s="131"/>
    </row>
    <row r="112" spans="2:14" x14ac:dyDescent="0.25">
      <c r="B112" s="131"/>
      <c r="C112" s="131"/>
      <c r="D112" s="131"/>
      <c r="E112" s="131"/>
      <c r="F112" s="131"/>
      <c r="G112" s="131"/>
      <c r="H112" s="131"/>
      <c r="I112" s="131"/>
      <c r="J112" s="131"/>
      <c r="K112" s="131"/>
      <c r="L112" s="131"/>
      <c r="M112" s="131"/>
      <c r="N112" s="131"/>
    </row>
    <row r="113" spans="2:14" x14ac:dyDescent="0.25">
      <c r="B113" s="131"/>
      <c r="C113" s="131"/>
      <c r="D113" s="131"/>
      <c r="E113" s="131"/>
      <c r="F113" s="131"/>
      <c r="G113" s="131"/>
      <c r="H113" s="131"/>
      <c r="I113" s="131"/>
      <c r="J113" s="131"/>
      <c r="K113" s="131"/>
      <c r="L113" s="131"/>
      <c r="M113" s="131"/>
      <c r="N113" s="131"/>
    </row>
    <row r="114" spans="2:14" x14ac:dyDescent="0.25">
      <c r="B114" s="131"/>
      <c r="C114" s="131"/>
      <c r="D114" s="131"/>
      <c r="E114" s="131"/>
      <c r="F114" s="131"/>
      <c r="G114" s="131"/>
      <c r="H114" s="131"/>
      <c r="I114" s="131"/>
      <c r="J114" s="131"/>
      <c r="K114" s="131"/>
      <c r="L114" s="131"/>
      <c r="M114" s="131"/>
      <c r="N114" s="131"/>
    </row>
    <row r="115" spans="2:14" x14ac:dyDescent="0.25">
      <c r="B115" s="131"/>
      <c r="C115" s="131"/>
      <c r="D115" s="131"/>
      <c r="E115" s="131"/>
      <c r="F115" s="131"/>
      <c r="G115" s="131"/>
      <c r="H115" s="131"/>
      <c r="I115" s="131"/>
      <c r="J115" s="131"/>
      <c r="K115" s="131"/>
      <c r="L115" s="131"/>
      <c r="M115" s="131"/>
      <c r="N115" s="131"/>
    </row>
    <row r="116" spans="2:14" x14ac:dyDescent="0.25">
      <c r="B116" s="131"/>
      <c r="C116" s="131"/>
      <c r="D116" s="131"/>
      <c r="E116" s="131"/>
      <c r="F116" s="131"/>
      <c r="G116" s="131"/>
      <c r="H116" s="131"/>
      <c r="I116" s="131"/>
      <c r="J116" s="131"/>
      <c r="K116" s="131"/>
      <c r="L116" s="131"/>
      <c r="M116" s="131"/>
      <c r="N116" s="131"/>
    </row>
    <row r="117" spans="2:14" x14ac:dyDescent="0.25">
      <c r="B117" s="131"/>
      <c r="C117" s="131"/>
      <c r="D117" s="131"/>
      <c r="E117" s="131"/>
      <c r="F117" s="131"/>
      <c r="G117" s="131"/>
      <c r="H117" s="131"/>
      <c r="I117" s="131"/>
      <c r="J117" s="131"/>
      <c r="K117" s="131"/>
      <c r="L117" s="131"/>
      <c r="M117" s="131"/>
      <c r="N117" s="131"/>
    </row>
    <row r="118" spans="2:14" x14ac:dyDescent="0.25">
      <c r="B118" s="131"/>
      <c r="C118" s="131"/>
      <c r="D118" s="131"/>
      <c r="E118" s="131"/>
      <c r="F118" s="131"/>
      <c r="G118" s="131"/>
      <c r="H118" s="131"/>
      <c r="I118" s="131"/>
      <c r="J118" s="131"/>
      <c r="K118" s="131"/>
      <c r="L118" s="131"/>
      <c r="M118" s="131"/>
      <c r="N118" s="131"/>
    </row>
    <row r="119" spans="2:14" x14ac:dyDescent="0.25">
      <c r="B119" s="131"/>
      <c r="C119" s="131"/>
      <c r="D119" s="131"/>
      <c r="E119" s="131"/>
      <c r="F119" s="131"/>
      <c r="G119" s="131"/>
      <c r="H119" s="131"/>
      <c r="I119" s="131"/>
      <c r="J119" s="131"/>
      <c r="K119" s="131"/>
      <c r="L119" s="131"/>
      <c r="M119" s="131"/>
      <c r="N119" s="131"/>
    </row>
    <row r="120" spans="2:14" x14ac:dyDescent="0.25">
      <c r="B120" s="131"/>
      <c r="C120" s="131"/>
      <c r="D120" s="131"/>
      <c r="E120" s="131"/>
      <c r="F120" s="131"/>
      <c r="G120" s="131"/>
      <c r="H120" s="131"/>
      <c r="I120" s="131"/>
      <c r="J120" s="131"/>
      <c r="K120" s="131"/>
      <c r="L120" s="131"/>
      <c r="M120" s="131"/>
      <c r="N120" s="131"/>
    </row>
    <row r="121" spans="2:14" x14ac:dyDescent="0.25">
      <c r="B121" s="131"/>
      <c r="C121" s="131"/>
      <c r="D121" s="131"/>
      <c r="E121" s="131"/>
      <c r="F121" s="131"/>
      <c r="G121" s="131"/>
      <c r="H121" s="131"/>
      <c r="I121" s="131"/>
      <c r="J121" s="131"/>
      <c r="K121" s="131"/>
      <c r="L121" s="131"/>
      <c r="M121" s="131"/>
      <c r="N121" s="131"/>
    </row>
    <row r="122" spans="2:14" x14ac:dyDescent="0.25">
      <c r="B122" s="131"/>
      <c r="C122" s="131"/>
      <c r="D122" s="131"/>
      <c r="E122" s="131"/>
      <c r="F122" s="131"/>
      <c r="G122" s="131"/>
      <c r="H122" s="131"/>
      <c r="I122" s="131"/>
      <c r="J122" s="131"/>
      <c r="K122" s="131"/>
      <c r="L122" s="131"/>
      <c r="M122" s="131"/>
      <c r="N122" s="131"/>
    </row>
    <row r="123" spans="2:14" x14ac:dyDescent="0.25">
      <c r="B123" s="131"/>
      <c r="C123" s="131"/>
      <c r="D123" s="131"/>
      <c r="E123" s="131"/>
      <c r="F123" s="131"/>
      <c r="G123" s="131"/>
      <c r="H123" s="131"/>
      <c r="I123" s="131"/>
      <c r="J123" s="131"/>
      <c r="K123" s="131"/>
      <c r="L123" s="131"/>
      <c r="M123" s="131"/>
      <c r="N123" s="131"/>
    </row>
    <row r="124" spans="2:14" x14ac:dyDescent="0.25">
      <c r="B124" s="131"/>
      <c r="C124" s="131"/>
      <c r="D124" s="131"/>
      <c r="E124" s="131"/>
      <c r="F124" s="131"/>
      <c r="G124" s="131"/>
      <c r="H124" s="131"/>
      <c r="I124" s="131"/>
      <c r="J124" s="131"/>
      <c r="K124" s="131"/>
      <c r="L124" s="131"/>
      <c r="M124" s="131"/>
      <c r="N124" s="131"/>
    </row>
    <row r="125" spans="2:14" x14ac:dyDescent="0.25">
      <c r="B125" s="131"/>
      <c r="C125" s="131"/>
      <c r="D125" s="131"/>
      <c r="E125" s="131"/>
      <c r="F125" s="131"/>
      <c r="G125" s="131"/>
      <c r="H125" s="131"/>
      <c r="I125" s="131"/>
      <c r="J125" s="131"/>
      <c r="K125" s="131"/>
      <c r="L125" s="131"/>
      <c r="M125" s="131"/>
      <c r="N125" s="131"/>
    </row>
    <row r="126" spans="2:14" x14ac:dyDescent="0.25">
      <c r="B126" s="131"/>
      <c r="C126" s="131"/>
      <c r="D126" s="131"/>
      <c r="E126" s="131"/>
      <c r="F126" s="131"/>
      <c r="G126" s="131"/>
      <c r="H126" s="131"/>
      <c r="I126" s="131"/>
      <c r="J126" s="131"/>
      <c r="K126" s="131"/>
      <c r="L126" s="131"/>
      <c r="M126" s="131"/>
      <c r="N126" s="131"/>
    </row>
    <row r="127" spans="2:14" x14ac:dyDescent="0.25">
      <c r="B127" s="131"/>
      <c r="C127" s="131"/>
      <c r="D127" s="131"/>
      <c r="E127" s="131"/>
      <c r="F127" s="131"/>
      <c r="G127" s="131"/>
      <c r="H127" s="131"/>
      <c r="I127" s="131"/>
      <c r="J127" s="131"/>
      <c r="K127" s="131"/>
      <c r="L127" s="131"/>
      <c r="M127" s="131"/>
      <c r="N127" s="131"/>
    </row>
    <row r="128" spans="2:14" x14ac:dyDescent="0.25">
      <c r="B128" s="131"/>
      <c r="C128" s="131"/>
      <c r="D128" s="131"/>
      <c r="E128" s="131"/>
      <c r="F128" s="131"/>
      <c r="G128" s="131"/>
      <c r="H128" s="131"/>
      <c r="I128" s="131"/>
      <c r="J128" s="131"/>
      <c r="K128" s="131"/>
      <c r="L128" s="131"/>
      <c r="M128" s="131"/>
      <c r="N128" s="131"/>
    </row>
    <row r="129" spans="2:14" x14ac:dyDescent="0.25">
      <c r="B129" s="131"/>
      <c r="C129" s="131"/>
      <c r="D129" s="131"/>
      <c r="E129" s="131"/>
      <c r="F129" s="131"/>
      <c r="G129" s="131"/>
      <c r="H129" s="131"/>
      <c r="I129" s="131"/>
      <c r="J129" s="131"/>
      <c r="K129" s="131"/>
      <c r="L129" s="131"/>
      <c r="M129" s="131"/>
      <c r="N129" s="131"/>
    </row>
    <row r="130" spans="2:14" x14ac:dyDescent="0.25">
      <c r="B130" s="131"/>
      <c r="C130" s="131"/>
      <c r="D130" s="131"/>
      <c r="E130" s="131"/>
      <c r="F130" s="131"/>
      <c r="G130" s="131"/>
      <c r="H130" s="131"/>
      <c r="I130" s="131"/>
      <c r="J130" s="131"/>
      <c r="K130" s="131"/>
      <c r="L130" s="131"/>
      <c r="M130" s="131"/>
      <c r="N130" s="131"/>
    </row>
    <row r="131" spans="2:14" x14ac:dyDescent="0.25">
      <c r="B131" s="131"/>
      <c r="C131" s="131"/>
      <c r="D131" s="131"/>
      <c r="E131" s="131"/>
      <c r="F131" s="131"/>
      <c r="G131" s="131"/>
      <c r="H131" s="131"/>
      <c r="I131" s="131"/>
      <c r="J131" s="131"/>
      <c r="K131" s="131"/>
      <c r="L131" s="131"/>
      <c r="M131" s="131"/>
      <c r="N131" s="131"/>
    </row>
    <row r="132" spans="2:14" x14ac:dyDescent="0.25">
      <c r="B132" s="131"/>
      <c r="C132" s="131"/>
      <c r="D132" s="131"/>
      <c r="E132" s="131"/>
      <c r="F132" s="131"/>
      <c r="G132" s="131"/>
      <c r="H132" s="131"/>
      <c r="I132" s="131"/>
      <c r="J132" s="131"/>
      <c r="K132" s="131"/>
      <c r="L132" s="131"/>
      <c r="M132" s="131"/>
      <c r="N132" s="131"/>
    </row>
    <row r="133" spans="2:14" x14ac:dyDescent="0.25">
      <c r="B133" s="131"/>
      <c r="C133" s="131"/>
      <c r="D133" s="131"/>
      <c r="E133" s="131"/>
      <c r="F133" s="131"/>
      <c r="G133" s="131"/>
      <c r="H133" s="131"/>
      <c r="I133" s="131"/>
      <c r="J133" s="131"/>
      <c r="K133" s="131"/>
      <c r="L133" s="131"/>
      <c r="M133" s="131"/>
      <c r="N133" s="131"/>
    </row>
    <row r="134" spans="2:14" x14ac:dyDescent="0.25">
      <c r="B134" s="131"/>
      <c r="C134" s="131"/>
      <c r="D134" s="131"/>
      <c r="E134" s="131"/>
      <c r="F134" s="131"/>
      <c r="G134" s="131"/>
      <c r="H134" s="131"/>
      <c r="I134" s="131"/>
      <c r="J134" s="131"/>
      <c r="K134" s="131"/>
      <c r="L134" s="131"/>
      <c r="M134" s="131"/>
      <c r="N134" s="131"/>
    </row>
    <row r="135" spans="2:14" x14ac:dyDescent="0.25">
      <c r="B135" s="131"/>
      <c r="C135" s="131"/>
      <c r="D135" s="131"/>
      <c r="E135" s="131"/>
      <c r="F135" s="131"/>
      <c r="G135" s="131"/>
      <c r="H135" s="131"/>
      <c r="I135" s="131"/>
      <c r="J135" s="131"/>
      <c r="K135" s="131"/>
      <c r="L135" s="131"/>
      <c r="M135" s="131"/>
      <c r="N135" s="131"/>
    </row>
    <row r="136" spans="2:14" x14ac:dyDescent="0.25">
      <c r="B136" s="129" t="s">
        <v>68</v>
      </c>
      <c r="C136" s="129"/>
      <c r="D136" s="129"/>
      <c r="E136" s="129"/>
      <c r="F136" s="129"/>
      <c r="G136" s="129"/>
      <c r="H136" s="129"/>
      <c r="I136" s="129"/>
      <c r="J136" s="129"/>
      <c r="K136" s="129"/>
      <c r="L136" s="129"/>
      <c r="M136" s="129"/>
      <c r="N136" s="129"/>
    </row>
    <row r="137" spans="2:14" ht="4.5" customHeight="1" x14ac:dyDescent="0.25">
      <c r="B137" s="130"/>
      <c r="C137" s="130"/>
      <c r="D137" s="130"/>
      <c r="E137" s="130"/>
      <c r="F137" s="130"/>
      <c r="G137" s="130"/>
      <c r="H137" s="130"/>
      <c r="I137" s="130"/>
      <c r="J137" s="130"/>
      <c r="K137" s="130"/>
      <c r="L137" s="130"/>
      <c r="M137" s="130"/>
      <c r="N137" s="130"/>
    </row>
    <row r="138" spans="2:14" x14ac:dyDescent="0.25">
      <c r="B138" s="131"/>
      <c r="C138" s="131"/>
      <c r="D138" s="131"/>
      <c r="E138" s="131"/>
      <c r="F138" s="131"/>
      <c r="G138" s="131"/>
      <c r="H138" s="131"/>
      <c r="I138" s="131"/>
      <c r="J138" s="131"/>
      <c r="K138" s="131"/>
      <c r="L138" s="131"/>
      <c r="M138" s="131"/>
      <c r="N138" s="131"/>
    </row>
    <row r="139" spans="2:14" x14ac:dyDescent="0.25">
      <c r="B139" s="134" t="s">
        <v>67</v>
      </c>
      <c r="C139" s="134"/>
      <c r="D139" s="134"/>
      <c r="E139" s="134"/>
      <c r="F139" s="134"/>
      <c r="G139" s="134"/>
      <c r="H139" s="134"/>
      <c r="I139" s="134"/>
      <c r="J139" s="134"/>
      <c r="K139" s="134"/>
      <c r="L139" s="134"/>
      <c r="M139" s="134"/>
      <c r="N139" s="134"/>
    </row>
    <row r="140" spans="2:14" x14ac:dyDescent="0.25">
      <c r="B140" s="131"/>
      <c r="C140" s="131"/>
      <c r="D140" s="131"/>
      <c r="E140" s="131"/>
      <c r="F140" s="131"/>
      <c r="G140" s="131"/>
      <c r="H140" s="131"/>
      <c r="I140" s="131"/>
      <c r="J140" s="131"/>
      <c r="K140" s="131"/>
      <c r="L140" s="131"/>
      <c r="M140" s="131"/>
      <c r="N140" s="131"/>
    </row>
    <row r="141" spans="2:14" x14ac:dyDescent="0.25">
      <c r="B141" s="131"/>
      <c r="C141" s="131"/>
      <c r="D141" s="131"/>
      <c r="E141" s="131"/>
      <c r="F141" s="131"/>
      <c r="G141" s="131"/>
      <c r="H141" s="131"/>
      <c r="I141" s="131"/>
      <c r="J141" s="131"/>
      <c r="K141" s="131"/>
      <c r="L141" s="131"/>
      <c r="M141" s="131"/>
      <c r="N141" s="131"/>
    </row>
    <row r="142" spans="2:14" x14ac:dyDescent="0.25">
      <c r="B142" s="131"/>
      <c r="C142" s="131"/>
      <c r="D142" s="131"/>
      <c r="E142" s="131"/>
      <c r="F142" s="131"/>
      <c r="G142" s="131"/>
      <c r="H142" s="131"/>
      <c r="I142" s="131"/>
      <c r="J142" s="131"/>
      <c r="K142" s="131"/>
      <c r="L142" s="131"/>
      <c r="M142" s="131"/>
      <c r="N142" s="131"/>
    </row>
    <row r="143" spans="2:14" x14ac:dyDescent="0.25">
      <c r="B143" s="131"/>
      <c r="C143" s="131"/>
      <c r="D143" s="131"/>
      <c r="E143" s="131"/>
      <c r="F143" s="131"/>
      <c r="G143" s="131"/>
      <c r="H143" s="131"/>
      <c r="I143" s="131"/>
      <c r="J143" s="131"/>
      <c r="K143" s="131"/>
      <c r="L143" s="131"/>
      <c r="M143" s="131"/>
      <c r="N143" s="131"/>
    </row>
    <row r="144" spans="2:14" x14ac:dyDescent="0.25">
      <c r="B144" s="131"/>
      <c r="C144" s="131"/>
      <c r="D144" s="131"/>
      <c r="E144" s="131"/>
      <c r="F144" s="131"/>
      <c r="G144" s="131"/>
      <c r="H144" s="131"/>
      <c r="I144" s="131"/>
      <c r="J144" s="131"/>
      <c r="K144" s="131"/>
      <c r="L144" s="131"/>
      <c r="M144" s="131"/>
      <c r="N144" s="131"/>
    </row>
    <row r="145" spans="2:14" x14ac:dyDescent="0.25">
      <c r="B145" s="131"/>
      <c r="C145" s="131"/>
      <c r="D145" s="131"/>
      <c r="E145" s="131"/>
      <c r="F145" s="131"/>
      <c r="G145" s="131"/>
      <c r="H145" s="131"/>
      <c r="I145" s="131"/>
      <c r="J145" s="131"/>
      <c r="K145" s="131"/>
      <c r="L145" s="131"/>
      <c r="M145" s="131"/>
      <c r="N145" s="131"/>
    </row>
    <row r="146" spans="2:14" x14ac:dyDescent="0.25">
      <c r="B146" s="131"/>
      <c r="C146" s="131"/>
      <c r="D146" s="131"/>
      <c r="E146" s="131"/>
      <c r="F146" s="131"/>
      <c r="G146" s="131"/>
      <c r="H146" s="131"/>
      <c r="I146" s="131"/>
      <c r="J146" s="131"/>
      <c r="K146" s="131"/>
      <c r="L146" s="131"/>
      <c r="M146" s="131"/>
      <c r="N146" s="131"/>
    </row>
    <row r="147" spans="2:14" x14ac:dyDescent="0.25">
      <c r="B147" s="131"/>
      <c r="C147" s="131"/>
      <c r="D147" s="131"/>
      <c r="E147" s="131"/>
      <c r="F147" s="131"/>
      <c r="G147" s="131"/>
      <c r="H147" s="131"/>
      <c r="I147" s="131"/>
      <c r="J147" s="131"/>
      <c r="K147" s="131"/>
      <c r="L147" s="131"/>
      <c r="M147" s="131"/>
      <c r="N147" s="131"/>
    </row>
    <row r="148" spans="2:14" x14ac:dyDescent="0.25">
      <c r="B148" s="131"/>
      <c r="C148" s="131"/>
      <c r="D148" s="131"/>
      <c r="E148" s="131"/>
      <c r="F148" s="131"/>
      <c r="G148" s="131"/>
      <c r="H148" s="131"/>
      <c r="I148" s="131"/>
      <c r="J148" s="131"/>
      <c r="K148" s="131"/>
      <c r="L148" s="131"/>
      <c r="M148" s="131"/>
      <c r="N148" s="131"/>
    </row>
    <row r="149" spans="2:14" x14ac:dyDescent="0.25">
      <c r="B149" s="131"/>
      <c r="C149" s="131"/>
      <c r="D149" s="131"/>
      <c r="E149" s="131"/>
      <c r="F149" s="131"/>
      <c r="G149" s="131"/>
      <c r="H149" s="131"/>
      <c r="I149" s="131"/>
      <c r="J149" s="131"/>
      <c r="K149" s="131"/>
      <c r="L149" s="131"/>
      <c r="M149" s="131"/>
      <c r="N149" s="131"/>
    </row>
    <row r="150" spans="2:14" x14ac:dyDescent="0.25">
      <c r="B150" s="131"/>
      <c r="C150" s="131"/>
      <c r="D150" s="131"/>
      <c r="E150" s="131"/>
      <c r="F150" s="131"/>
      <c r="G150" s="131"/>
      <c r="H150" s="131"/>
      <c r="I150" s="131"/>
      <c r="J150" s="131"/>
      <c r="K150" s="131"/>
      <c r="L150" s="131"/>
      <c r="M150" s="131"/>
      <c r="N150" s="131"/>
    </row>
    <row r="151" spans="2:14" x14ac:dyDescent="0.25">
      <c r="B151" s="131"/>
      <c r="C151" s="131"/>
      <c r="D151" s="131"/>
      <c r="E151" s="131"/>
      <c r="F151" s="131"/>
      <c r="G151" s="131"/>
      <c r="H151" s="131"/>
      <c r="I151" s="131"/>
      <c r="J151" s="131"/>
      <c r="K151" s="131"/>
      <c r="L151" s="131"/>
      <c r="M151" s="131"/>
      <c r="N151" s="131"/>
    </row>
    <row r="152" spans="2:14" x14ac:dyDescent="0.25">
      <c r="B152" s="131"/>
      <c r="C152" s="131"/>
      <c r="D152" s="131"/>
      <c r="E152" s="131"/>
      <c r="F152" s="131"/>
      <c r="G152" s="131"/>
      <c r="H152" s="131"/>
      <c r="I152" s="131"/>
      <c r="J152" s="131"/>
      <c r="K152" s="131"/>
      <c r="L152" s="131"/>
      <c r="M152" s="131"/>
      <c r="N152" s="131"/>
    </row>
    <row r="153" spans="2:14" x14ac:dyDescent="0.25">
      <c r="B153" s="131"/>
      <c r="C153" s="131"/>
      <c r="D153" s="131"/>
      <c r="E153" s="131"/>
      <c r="F153" s="131"/>
      <c r="G153" s="131"/>
      <c r="H153" s="131"/>
      <c r="I153" s="131"/>
      <c r="J153" s="131"/>
      <c r="K153" s="131"/>
      <c r="L153" s="131"/>
      <c r="M153" s="131"/>
      <c r="N153" s="131"/>
    </row>
    <row r="154" spans="2:14" x14ac:dyDescent="0.25">
      <c r="B154" s="131"/>
      <c r="C154" s="131"/>
      <c r="D154" s="131"/>
      <c r="E154" s="131"/>
      <c r="F154" s="131"/>
      <c r="G154" s="131"/>
      <c r="H154" s="131"/>
      <c r="I154" s="131"/>
      <c r="J154" s="131"/>
      <c r="K154" s="131"/>
      <c r="L154" s="131"/>
      <c r="M154" s="131"/>
      <c r="N154" s="131"/>
    </row>
    <row r="155" spans="2:14" x14ac:dyDescent="0.25">
      <c r="B155" s="131"/>
      <c r="C155" s="131"/>
      <c r="D155" s="131"/>
      <c r="E155" s="131"/>
      <c r="F155" s="131"/>
      <c r="G155" s="131"/>
      <c r="H155" s="131"/>
      <c r="I155" s="131"/>
      <c r="J155" s="131"/>
      <c r="K155" s="131"/>
      <c r="L155" s="131"/>
      <c r="M155" s="131"/>
      <c r="N155" s="131"/>
    </row>
    <row r="156" spans="2:14" x14ac:dyDescent="0.25">
      <c r="B156" s="131"/>
      <c r="C156" s="131"/>
      <c r="D156" s="131"/>
      <c r="E156" s="131"/>
      <c r="F156" s="131"/>
      <c r="G156" s="131"/>
      <c r="H156" s="131"/>
      <c r="I156" s="131"/>
      <c r="J156" s="131"/>
      <c r="K156" s="131"/>
      <c r="L156" s="131"/>
      <c r="M156" s="131"/>
      <c r="N156" s="131"/>
    </row>
    <row r="157" spans="2:14" x14ac:dyDescent="0.25">
      <c r="B157" s="131"/>
      <c r="C157" s="131"/>
      <c r="D157" s="131"/>
      <c r="E157" s="131"/>
      <c r="F157" s="131"/>
      <c r="G157" s="131"/>
      <c r="H157" s="131"/>
      <c r="I157" s="131"/>
      <c r="J157" s="131"/>
      <c r="K157" s="131"/>
      <c r="L157" s="131"/>
      <c r="M157" s="131"/>
      <c r="N157" s="131"/>
    </row>
    <row r="158" spans="2:14" x14ac:dyDescent="0.25">
      <c r="B158" s="131"/>
      <c r="C158" s="131"/>
      <c r="D158" s="131"/>
      <c r="E158" s="131"/>
      <c r="F158" s="131"/>
      <c r="G158" s="131"/>
      <c r="H158" s="131"/>
      <c r="I158" s="131"/>
      <c r="J158" s="131"/>
      <c r="K158" s="131"/>
      <c r="L158" s="131"/>
      <c r="M158" s="131"/>
      <c r="N158" s="131"/>
    </row>
    <row r="159" spans="2:14" x14ac:dyDescent="0.25">
      <c r="B159" s="131"/>
      <c r="C159" s="131"/>
      <c r="D159" s="131"/>
      <c r="E159" s="131"/>
      <c r="F159" s="131"/>
      <c r="G159" s="131"/>
      <c r="H159" s="131"/>
      <c r="I159" s="131"/>
      <c r="J159" s="131"/>
      <c r="K159" s="131"/>
      <c r="L159" s="131"/>
      <c r="M159" s="131"/>
      <c r="N159" s="131"/>
    </row>
    <row r="160" spans="2:14" x14ac:dyDescent="0.25">
      <c r="B160" s="129" t="s">
        <v>92</v>
      </c>
      <c r="C160" s="129"/>
      <c r="D160" s="129"/>
      <c r="E160" s="129"/>
      <c r="F160" s="129"/>
      <c r="G160" s="129"/>
      <c r="H160" s="129"/>
      <c r="I160" s="129"/>
      <c r="J160" s="129"/>
      <c r="K160" s="129"/>
      <c r="L160" s="129"/>
      <c r="M160" s="129"/>
      <c r="N160" s="129"/>
    </row>
    <row r="161" spans="2:14" ht="4.5" customHeight="1" x14ac:dyDescent="0.25">
      <c r="B161" s="130"/>
      <c r="C161" s="130"/>
      <c r="D161" s="130"/>
      <c r="E161" s="130"/>
      <c r="F161" s="130"/>
      <c r="G161" s="130"/>
      <c r="H161" s="130"/>
      <c r="I161" s="130"/>
      <c r="J161" s="130"/>
      <c r="K161" s="130"/>
      <c r="L161" s="130"/>
      <c r="M161" s="130"/>
      <c r="N161" s="130"/>
    </row>
    <row r="162" spans="2:14" x14ac:dyDescent="0.25">
      <c r="B162" s="131"/>
      <c r="C162" s="131"/>
      <c r="D162" s="131"/>
      <c r="E162" s="131"/>
      <c r="F162" s="131"/>
      <c r="G162" s="131"/>
      <c r="H162" s="131"/>
      <c r="I162" s="131"/>
      <c r="J162" s="131"/>
      <c r="K162" s="131"/>
      <c r="L162" s="131"/>
      <c r="M162" s="131"/>
      <c r="N162" s="131"/>
    </row>
    <row r="163" spans="2:14" ht="57" customHeight="1" x14ac:dyDescent="0.25">
      <c r="B163" s="132" t="s">
        <v>124</v>
      </c>
      <c r="C163" s="132"/>
      <c r="D163" s="132"/>
      <c r="E163" s="132"/>
      <c r="F163" s="132"/>
      <c r="G163" s="132"/>
      <c r="H163" s="132"/>
      <c r="I163" s="132"/>
      <c r="J163" s="132"/>
      <c r="K163" s="132"/>
      <c r="L163" s="132"/>
      <c r="M163" s="132"/>
      <c r="N163" s="132"/>
    </row>
    <row r="164" spans="2:14" x14ac:dyDescent="0.25">
      <c r="B164" s="131"/>
      <c r="C164" s="131"/>
      <c r="D164" s="131"/>
      <c r="E164" s="131"/>
      <c r="F164" s="131"/>
      <c r="G164" s="131"/>
      <c r="H164" s="131"/>
      <c r="I164" s="131"/>
      <c r="J164" s="131"/>
      <c r="K164" s="131"/>
      <c r="L164" s="131"/>
      <c r="M164" s="131"/>
      <c r="N164" s="131"/>
    </row>
    <row r="165" spans="2:14" x14ac:dyDescent="0.25">
      <c r="B165" s="131"/>
      <c r="C165" s="131"/>
      <c r="D165" s="131"/>
      <c r="E165" s="131"/>
      <c r="F165" s="131"/>
      <c r="G165" s="131"/>
      <c r="H165" s="131"/>
      <c r="I165" s="131"/>
      <c r="J165" s="131"/>
      <c r="K165" s="131"/>
      <c r="L165" s="131"/>
      <c r="M165" s="131"/>
      <c r="N165" s="131"/>
    </row>
    <row r="166" spans="2:14" x14ac:dyDescent="0.25">
      <c r="B166" s="131"/>
      <c r="C166" s="131"/>
      <c r="D166" s="131"/>
      <c r="E166" s="131"/>
      <c r="F166" s="131"/>
      <c r="G166" s="131"/>
      <c r="H166" s="131"/>
      <c r="I166" s="131"/>
      <c r="J166" s="131"/>
      <c r="K166" s="131"/>
      <c r="L166" s="131"/>
      <c r="M166" s="131"/>
      <c r="N166" s="131"/>
    </row>
    <row r="167" spans="2:14" x14ac:dyDescent="0.25">
      <c r="B167" s="131"/>
      <c r="C167" s="131"/>
      <c r="D167" s="131"/>
      <c r="E167" s="131"/>
      <c r="F167" s="131"/>
      <c r="G167" s="131"/>
      <c r="H167" s="131"/>
      <c r="I167" s="131"/>
      <c r="J167" s="131"/>
      <c r="K167" s="131"/>
      <c r="L167" s="131"/>
      <c r="M167" s="131"/>
      <c r="N167" s="131"/>
    </row>
    <row r="168" spans="2:14" x14ac:dyDescent="0.25">
      <c r="B168" s="131"/>
      <c r="C168" s="131"/>
      <c r="D168" s="131"/>
      <c r="E168" s="131"/>
      <c r="F168" s="131"/>
      <c r="G168" s="131"/>
      <c r="H168" s="131"/>
      <c r="I168" s="131"/>
      <c r="J168" s="131"/>
      <c r="K168" s="131"/>
      <c r="L168" s="131"/>
      <c r="M168" s="131"/>
      <c r="N168" s="131"/>
    </row>
    <row r="169" spans="2:14" x14ac:dyDescent="0.25">
      <c r="B169" s="131"/>
      <c r="C169" s="131"/>
      <c r="D169" s="131"/>
      <c r="E169" s="131"/>
      <c r="F169" s="131"/>
      <c r="G169" s="131"/>
      <c r="H169" s="131"/>
      <c r="I169" s="131"/>
      <c r="J169" s="131"/>
      <c r="K169" s="131"/>
      <c r="L169" s="131"/>
      <c r="M169" s="131"/>
      <c r="N169" s="131"/>
    </row>
    <row r="170" spans="2:14" x14ac:dyDescent="0.25">
      <c r="B170" s="131"/>
      <c r="C170" s="131"/>
      <c r="D170" s="131"/>
      <c r="E170" s="131"/>
      <c r="F170" s="131"/>
      <c r="G170" s="131"/>
      <c r="H170" s="131"/>
      <c r="I170" s="131"/>
      <c r="J170" s="131"/>
      <c r="K170" s="131"/>
      <c r="L170" s="131"/>
      <c r="M170" s="131"/>
      <c r="N170" s="131"/>
    </row>
    <row r="171" spans="2:14" x14ac:dyDescent="0.25">
      <c r="B171" s="131"/>
      <c r="C171" s="131"/>
      <c r="D171" s="131"/>
      <c r="E171" s="131"/>
      <c r="F171" s="131"/>
      <c r="G171" s="131"/>
      <c r="H171" s="131"/>
      <c r="I171" s="131"/>
      <c r="J171" s="131"/>
      <c r="K171" s="131"/>
      <c r="L171" s="131"/>
      <c r="M171" s="131"/>
      <c r="N171" s="131"/>
    </row>
    <row r="172" spans="2:14" x14ac:dyDescent="0.25">
      <c r="B172" s="131"/>
      <c r="C172" s="131"/>
      <c r="D172" s="131"/>
      <c r="E172" s="131"/>
      <c r="F172" s="131"/>
      <c r="G172" s="131"/>
      <c r="H172" s="131"/>
      <c r="I172" s="131"/>
      <c r="J172" s="131"/>
      <c r="K172" s="131"/>
      <c r="L172" s="131"/>
      <c r="M172" s="131"/>
      <c r="N172" s="131"/>
    </row>
    <row r="173" spans="2:14" x14ac:dyDescent="0.25">
      <c r="B173" s="131"/>
      <c r="C173" s="131"/>
      <c r="D173" s="131"/>
      <c r="E173" s="131"/>
      <c r="F173" s="131"/>
      <c r="G173" s="131"/>
      <c r="H173" s="131"/>
      <c r="I173" s="131"/>
      <c r="J173" s="131"/>
      <c r="K173" s="131"/>
      <c r="L173" s="131"/>
      <c r="M173" s="131"/>
      <c r="N173" s="131"/>
    </row>
    <row r="174" spans="2:14" x14ac:dyDescent="0.25">
      <c r="B174" s="131"/>
      <c r="C174" s="131"/>
      <c r="D174" s="131"/>
      <c r="E174" s="131"/>
      <c r="F174" s="131"/>
      <c r="G174" s="131"/>
      <c r="H174" s="131"/>
      <c r="I174" s="131"/>
      <c r="J174" s="131"/>
      <c r="K174" s="131"/>
      <c r="L174" s="131"/>
      <c r="M174" s="131"/>
      <c r="N174" s="131"/>
    </row>
    <row r="175" spans="2:14" x14ac:dyDescent="0.25">
      <c r="B175" s="131"/>
      <c r="C175" s="131"/>
      <c r="D175" s="131"/>
      <c r="E175" s="131"/>
      <c r="F175" s="131"/>
      <c r="G175" s="131"/>
      <c r="H175" s="131"/>
      <c r="I175" s="131"/>
      <c r="J175" s="131"/>
      <c r="K175" s="131"/>
      <c r="L175" s="131"/>
      <c r="M175" s="131"/>
      <c r="N175" s="131"/>
    </row>
    <row r="176" spans="2:14" x14ac:dyDescent="0.25">
      <c r="B176" s="131"/>
      <c r="C176" s="131"/>
      <c r="D176" s="131"/>
      <c r="E176" s="131"/>
      <c r="F176" s="131"/>
      <c r="G176" s="131"/>
      <c r="H176" s="131"/>
      <c r="I176" s="131"/>
      <c r="J176" s="131"/>
      <c r="K176" s="131"/>
      <c r="L176" s="131"/>
      <c r="M176" s="131"/>
      <c r="N176" s="131"/>
    </row>
    <row r="177" spans="2:14" x14ac:dyDescent="0.25">
      <c r="B177" s="131"/>
      <c r="C177" s="131"/>
      <c r="D177" s="131"/>
      <c r="E177" s="131"/>
      <c r="F177" s="131"/>
      <c r="G177" s="131"/>
      <c r="H177" s="131"/>
      <c r="I177" s="131"/>
      <c r="J177" s="131"/>
      <c r="K177" s="131"/>
      <c r="L177" s="131"/>
      <c r="M177" s="131"/>
      <c r="N177" s="131"/>
    </row>
    <row r="178" spans="2:14" x14ac:dyDescent="0.25">
      <c r="B178" s="131"/>
      <c r="C178" s="131"/>
      <c r="D178" s="131"/>
      <c r="E178" s="131"/>
      <c r="F178" s="131"/>
      <c r="G178" s="131"/>
      <c r="H178" s="131"/>
      <c r="I178" s="131"/>
      <c r="J178" s="131"/>
      <c r="K178" s="131"/>
      <c r="L178" s="131"/>
      <c r="M178" s="131"/>
      <c r="N178" s="131"/>
    </row>
    <row r="179" spans="2:14" x14ac:dyDescent="0.25">
      <c r="B179" s="131"/>
      <c r="C179" s="131"/>
      <c r="D179" s="131"/>
      <c r="E179" s="131"/>
      <c r="F179" s="131"/>
      <c r="G179" s="131"/>
      <c r="H179" s="131"/>
      <c r="I179" s="131"/>
      <c r="J179" s="131"/>
      <c r="K179" s="131"/>
      <c r="L179" s="131"/>
      <c r="M179" s="131"/>
      <c r="N179" s="131"/>
    </row>
    <row r="180" spans="2:14" x14ac:dyDescent="0.25">
      <c r="B180" s="131"/>
      <c r="C180" s="131"/>
      <c r="D180" s="131"/>
      <c r="E180" s="131"/>
      <c r="F180" s="131"/>
      <c r="G180" s="131"/>
      <c r="H180" s="131"/>
      <c r="I180" s="131"/>
      <c r="J180" s="131"/>
      <c r="K180" s="131"/>
      <c r="L180" s="131"/>
      <c r="M180" s="131"/>
      <c r="N180" s="131"/>
    </row>
    <row r="181" spans="2:14" x14ac:dyDescent="0.25">
      <c r="B181" s="131"/>
      <c r="C181" s="131"/>
      <c r="D181" s="131"/>
      <c r="E181" s="131"/>
      <c r="F181" s="131"/>
      <c r="G181" s="131"/>
      <c r="H181" s="131"/>
      <c r="I181" s="131"/>
      <c r="J181" s="131"/>
      <c r="K181" s="131"/>
      <c r="L181" s="131"/>
      <c r="M181" s="131"/>
      <c r="N181" s="131"/>
    </row>
    <row r="182" spans="2:14" x14ac:dyDescent="0.25">
      <c r="B182" s="131"/>
      <c r="C182" s="131"/>
      <c r="D182" s="131"/>
      <c r="E182" s="131"/>
      <c r="F182" s="131"/>
      <c r="G182" s="131"/>
      <c r="H182" s="131"/>
      <c r="I182" s="131"/>
      <c r="J182" s="131"/>
      <c r="K182" s="131"/>
      <c r="L182" s="131"/>
      <c r="M182" s="131"/>
      <c r="N182" s="131"/>
    </row>
    <row r="183" spans="2:14" x14ac:dyDescent="0.25">
      <c r="B183" s="131"/>
      <c r="C183" s="131"/>
      <c r="D183" s="131"/>
      <c r="E183" s="131"/>
      <c r="F183" s="131"/>
      <c r="G183" s="131"/>
      <c r="H183" s="131"/>
      <c r="I183" s="131"/>
      <c r="J183" s="131"/>
      <c r="K183" s="131"/>
      <c r="L183" s="131"/>
      <c r="M183" s="131"/>
      <c r="N183" s="131"/>
    </row>
  </sheetData>
  <customSheetViews>
    <customSheetView guid="{79CFC90F-9797-4F95-B835-584B9BD0A801}" showPageBreaks="1" showGridLines="0" showRowCol="0">
      <selection activeCell="R109" sqref="R109"/>
    </customSheetView>
  </customSheetViews>
  <mergeCells count="34">
    <mergeCell ref="B164:N183"/>
    <mergeCell ref="B64:N64"/>
    <mergeCell ref="B28:N63"/>
    <mergeCell ref="B107:N135"/>
    <mergeCell ref="B65:N65"/>
    <mergeCell ref="B66:N66"/>
    <mergeCell ref="B103:N103"/>
    <mergeCell ref="B104:N104"/>
    <mergeCell ref="B105:N105"/>
    <mergeCell ref="B68:N102"/>
    <mergeCell ref="B160:N160"/>
    <mergeCell ref="B161:N161"/>
    <mergeCell ref="B2:N2"/>
    <mergeCell ref="B5:N5"/>
    <mergeCell ref="B26:N26"/>
    <mergeCell ref="B10:N23"/>
    <mergeCell ref="B3:N4"/>
    <mergeCell ref="B8:N8"/>
    <mergeCell ref="B24:N24"/>
    <mergeCell ref="B25:N25"/>
    <mergeCell ref="B162:N162"/>
    <mergeCell ref="B163:N163"/>
    <mergeCell ref="B1:N1"/>
    <mergeCell ref="B136:N136"/>
    <mergeCell ref="B137:N137"/>
    <mergeCell ref="B138:N138"/>
    <mergeCell ref="B140:N159"/>
    <mergeCell ref="B139:N139"/>
    <mergeCell ref="B9:N9"/>
    <mergeCell ref="B27:N27"/>
    <mergeCell ref="B67:N67"/>
    <mergeCell ref="B106:N106"/>
    <mergeCell ref="B6:N6"/>
    <mergeCell ref="B7:N7"/>
  </mergeCells>
  <pageMargins left="0.25" right="0.25" top="0.75" bottom="0.75" header="0.3" footer="0.3"/>
  <pageSetup scale="79" orientation="portrait" r:id="rId1"/>
  <headerFooter>
    <oddHeader>&amp;C&amp;"-,Bold"&amp;22Introduction</oddHeader>
  </headerFooter>
  <rowBreaks count="3" manualBreakCount="3">
    <brk id="23" max="16383" man="1"/>
    <brk id="63" max="16383" man="1"/>
    <brk id="102" max="16383" man="1"/>
  </rowBreaks>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rgb="FFFF0000"/>
    <pageSetUpPr fitToPage="1"/>
  </sheetPr>
  <dimension ref="A1:AO33"/>
  <sheetViews>
    <sheetView showGridLines="0" zoomScale="90" zoomScaleNormal="90" workbookViewId="0">
      <selection activeCell="T22" sqref="T22"/>
    </sheetView>
  </sheetViews>
  <sheetFormatPr defaultRowHeight="12.75" x14ac:dyDescent="0.2"/>
  <cols>
    <col min="1" max="1" width="9.5703125" style="57" bestFit="1" customWidth="1"/>
    <col min="2" max="33" width="3.7109375" style="57" customWidth="1"/>
    <col min="34" max="34" width="4" style="57" customWidth="1"/>
    <col min="35" max="35" width="37.28515625" style="57" customWidth="1"/>
    <col min="36" max="36" width="1.7109375" style="57" customWidth="1"/>
    <col min="37" max="37" width="16.42578125" style="57" customWidth="1"/>
    <col min="38" max="16384" width="9.140625" style="57"/>
  </cols>
  <sheetData>
    <row r="1" spans="1:41" ht="75.75" customHeight="1" x14ac:dyDescent="0.2">
      <c r="A1" s="56">
        <v>2013</v>
      </c>
      <c r="C1" s="58"/>
      <c r="D1" s="58"/>
      <c r="E1" s="58"/>
      <c r="F1" s="58"/>
      <c r="G1" s="58"/>
      <c r="H1" s="58"/>
      <c r="I1" s="58"/>
      <c r="J1" s="58"/>
      <c r="K1" s="58"/>
      <c r="L1" s="58"/>
      <c r="M1" s="58"/>
      <c r="N1" s="58"/>
      <c r="O1" s="58"/>
      <c r="P1" s="58"/>
      <c r="Q1" s="58"/>
      <c r="R1" s="58"/>
      <c r="S1" s="58"/>
      <c r="T1" s="58"/>
    </row>
    <row r="2" spans="1:41" ht="15.95" customHeight="1" x14ac:dyDescent="0.2">
      <c r="C2" s="159" t="s">
        <v>71</v>
      </c>
      <c r="D2" s="160"/>
      <c r="E2" s="160"/>
      <c r="F2" s="160"/>
      <c r="G2" s="160"/>
      <c r="H2" s="160"/>
      <c r="I2" s="161"/>
      <c r="K2" s="159" t="s">
        <v>72</v>
      </c>
      <c r="L2" s="160"/>
      <c r="M2" s="160"/>
      <c r="N2" s="160"/>
      <c r="O2" s="160"/>
      <c r="P2" s="160"/>
      <c r="Q2" s="161"/>
      <c r="S2" s="159" t="s">
        <v>73</v>
      </c>
      <c r="T2" s="160"/>
      <c r="U2" s="160"/>
      <c r="V2" s="160"/>
      <c r="W2" s="160"/>
      <c r="X2" s="160"/>
      <c r="Y2" s="161"/>
      <c r="AA2" s="159" t="s">
        <v>74</v>
      </c>
      <c r="AB2" s="160"/>
      <c r="AC2" s="160"/>
      <c r="AD2" s="160"/>
      <c r="AE2" s="160"/>
      <c r="AF2" s="160"/>
      <c r="AG2" s="161"/>
      <c r="AI2" s="73" t="s">
        <v>90</v>
      </c>
      <c r="AJ2" s="72"/>
      <c r="AK2" s="73" t="s">
        <v>91</v>
      </c>
      <c r="AL2" s="72"/>
      <c r="AM2" s="72"/>
      <c r="AN2" s="72"/>
      <c r="AO2" s="72"/>
    </row>
    <row r="3" spans="1:41" ht="15.95" customHeight="1" x14ac:dyDescent="0.2">
      <c r="B3" s="59"/>
      <c r="C3" s="60" t="s">
        <v>75</v>
      </c>
      <c r="D3" s="60" t="s">
        <v>76</v>
      </c>
      <c r="E3" s="60" t="s">
        <v>77</v>
      </c>
      <c r="F3" s="60" t="s">
        <v>78</v>
      </c>
      <c r="G3" s="60" t="s">
        <v>77</v>
      </c>
      <c r="H3" s="60" t="s">
        <v>79</v>
      </c>
      <c r="I3" s="60" t="s">
        <v>75</v>
      </c>
      <c r="K3" s="60" t="s">
        <v>75</v>
      </c>
      <c r="L3" s="60" t="s">
        <v>76</v>
      </c>
      <c r="M3" s="60" t="s">
        <v>77</v>
      </c>
      <c r="N3" s="60" t="s">
        <v>78</v>
      </c>
      <c r="O3" s="60" t="s">
        <v>77</v>
      </c>
      <c r="P3" s="60" t="s">
        <v>79</v>
      </c>
      <c r="Q3" s="60" t="s">
        <v>75</v>
      </c>
      <c r="S3" s="60" t="s">
        <v>75</v>
      </c>
      <c r="T3" s="60" t="s">
        <v>76</v>
      </c>
      <c r="U3" s="60" t="s">
        <v>77</v>
      </c>
      <c r="V3" s="60" t="s">
        <v>78</v>
      </c>
      <c r="W3" s="60" t="s">
        <v>77</v>
      </c>
      <c r="X3" s="60" t="s">
        <v>79</v>
      </c>
      <c r="Y3" s="60" t="s">
        <v>75</v>
      </c>
      <c r="AA3" s="60" t="s">
        <v>75</v>
      </c>
      <c r="AB3" s="60" t="s">
        <v>76</v>
      </c>
      <c r="AC3" s="60" t="s">
        <v>77</v>
      </c>
      <c r="AD3" s="60" t="s">
        <v>78</v>
      </c>
      <c r="AE3" s="60" t="s">
        <v>77</v>
      </c>
      <c r="AF3" s="60" t="s">
        <v>79</v>
      </c>
      <c r="AG3" s="60" t="s">
        <v>75</v>
      </c>
    </row>
    <row r="4" spans="1:41" ht="15.95" customHeight="1" x14ac:dyDescent="0.2">
      <c r="C4" s="61" t="str">
        <f>IF(AND(YEAR(JanSun1)=$A$1,MONTH(JanSun1)=1),JanSun1, "")</f>
        <v/>
      </c>
      <c r="D4" s="61" t="str">
        <f>IF(AND(YEAR(JanSun1+1)=$A$1,MONTH(JanSun1+1)=1),JanSun1+1, "")</f>
        <v/>
      </c>
      <c r="E4" s="61">
        <f>IF(AND(YEAR(JanSun1+2)=$A$1,MONTH(JanSun1+2)=1),JanSun1+2, "")</f>
        <v>41275</v>
      </c>
      <c r="F4" s="61">
        <f>IF(AND(YEAR(JanSun1+3)=$A$1,MONTH(JanSun1+3)=1),JanSun1+3, "")</f>
        <v>41276</v>
      </c>
      <c r="G4" s="61">
        <f>IF(AND(YEAR(JanSun1+4)=$A$1,MONTH(JanSun1+4)=1),JanSun1+4, "")</f>
        <v>41277</v>
      </c>
      <c r="H4" s="61">
        <f>IF(AND(YEAR(JanSun1+5)=$A$1,MONTH(JanSun1+5)=1),JanSun1+5, "")</f>
        <v>41278</v>
      </c>
      <c r="I4" s="61">
        <f>IF(AND(YEAR(JanSun1+6)=$A$1,MONTH(JanSun1+6)=1),JanSun1+6, "")</f>
        <v>41279</v>
      </c>
      <c r="K4" s="61" t="str">
        <f>IF(AND(YEAR(AprSun1)=$A$1,MONTH(AprSun1)=4),AprSun1, "")</f>
        <v/>
      </c>
      <c r="L4" s="61">
        <f>IF(AND(YEAR(AprSun1+1)=$A$1,MONTH(AprSun1+1)=4),AprSun1+1, "")</f>
        <v>41365</v>
      </c>
      <c r="M4" s="61">
        <f>IF(AND(YEAR(AprSun1+2)=$A$1,MONTH(AprSun1+2)=4),AprSun1+2, "")</f>
        <v>41366</v>
      </c>
      <c r="N4" s="61">
        <f>IF(AND(YEAR(AprSun1+3)=$A$1,MONTH(AprSun1+3)=4),AprSun1+3, "")</f>
        <v>41367</v>
      </c>
      <c r="O4" s="61">
        <f>IF(AND(YEAR(AprSun1+4)=$A$1,MONTH(AprSun1+4)=4),AprSun1+4, "")</f>
        <v>41368</v>
      </c>
      <c r="P4" s="61">
        <f>IF(AND(YEAR(AprSun1+5)=$A$1,MONTH(AprSun1+5)=4),AprSun1+5, "")</f>
        <v>41369</v>
      </c>
      <c r="Q4" s="61">
        <f>IF(AND(YEAR(AprSun1+6)=$A$1,MONTH(AprSun1+6)=4),AprSun1+6, "")</f>
        <v>41370</v>
      </c>
      <c r="S4" s="61" t="str">
        <f>IF(AND(YEAR(JulSun1)=$A$1,MONTH(JulSun1)=7),JulSun1, "")</f>
        <v/>
      </c>
      <c r="T4" s="61">
        <f>IF(AND(YEAR(JulSun1+1)=$A$1,MONTH(JulSun1+1)=7),JulSun1+1, "")</f>
        <v>41456</v>
      </c>
      <c r="U4" s="61">
        <f>IF(AND(YEAR(JulSun1+2)=$A$1,MONTH(JulSun1+2)=7),JulSun1+2, "")</f>
        <v>41457</v>
      </c>
      <c r="V4" s="61">
        <f>IF(AND(YEAR(JulSun1+3)=$A$1,MONTH(JulSun1+3)=7),JulSun1+3, "")</f>
        <v>41458</v>
      </c>
      <c r="W4" s="68">
        <f>IF(AND(YEAR(JulSun1+4)=$A$1,MONTH(JulSun1+4)=7),JulSun1+4, "")</f>
        <v>41459</v>
      </c>
      <c r="X4" s="61">
        <f>IF(AND(YEAR(JulSun1+5)=$A$1,MONTH(JulSun1+5)=7),JulSun1+5, "")</f>
        <v>41460</v>
      </c>
      <c r="Y4" s="61">
        <f>IF(AND(YEAR(JulSun1+6)=$A$1,MONTH(JulSun1+6)=7),JulSun1+6, "")</f>
        <v>41461</v>
      </c>
      <c r="AA4" s="61" t="str">
        <f>IF(AND(YEAR(OctSun1)=$A$1,MONTH(OctSun1)=10),OctSun1, "")</f>
        <v/>
      </c>
      <c r="AB4" s="61" t="str">
        <f>IF(AND(YEAR(OctSun1+1)=$A$1,MONTH(OctSun1+1)=10),OctSun1+1, "")</f>
        <v/>
      </c>
      <c r="AC4" s="70">
        <f>IF(AND(YEAR(OctSun1+2)=$A$1,MONTH(OctSun1+2)=10),OctSun1+2, "")</f>
        <v>41548</v>
      </c>
      <c r="AD4" s="70">
        <f>IF(AND(YEAR(OctSun1+3)=$A$1,MONTH(OctSun1+3)=10),OctSun1+3, "")</f>
        <v>41549</v>
      </c>
      <c r="AE4" s="70">
        <f>IF(AND(YEAR(OctSun1+4)=$A$1,MONTH(OctSun1+4)=10),OctSun1+4, "")</f>
        <v>41550</v>
      </c>
      <c r="AF4" s="70">
        <f>IF(AND(YEAR(OctSun1+5)=$A$1,MONTH(OctSun1+5)=10),OctSun1+5, "")</f>
        <v>41551</v>
      </c>
      <c r="AG4" s="61">
        <f>IF(AND(YEAR(OctSun1+6)=$A$1,MONTH(OctSun1+6)=10),OctSun1+6, "")</f>
        <v>41552</v>
      </c>
      <c r="AI4" s="57" t="s">
        <v>89</v>
      </c>
      <c r="AK4" s="57">
        <v>2</v>
      </c>
    </row>
    <row r="5" spans="1:41" ht="15.95" customHeight="1" x14ac:dyDescent="0.2">
      <c r="C5" s="61">
        <f>IF(AND(YEAR(JanSun1+7)=$A$1,MONTH(JanSun1+7)=1),JanSun1+7, "")</f>
        <v>41280</v>
      </c>
      <c r="D5" s="61">
        <f>IF(AND(YEAR(JanSun1+8)=$A$1,MONTH(JanSun1+8)=1),JanSun1+8, "")</f>
        <v>41281</v>
      </c>
      <c r="E5" s="61">
        <f>IF(AND(YEAR(JanSun1+9)=$A$1,MONTH(JanSun1+9)=1),JanSun1+9, "")</f>
        <v>41282</v>
      </c>
      <c r="F5" s="61">
        <f>IF(AND(YEAR(JanSun1+10)=$A$1,MONTH(JanSun1+10)=1),JanSun1+10, "")</f>
        <v>41283</v>
      </c>
      <c r="G5" s="61">
        <f>IF(AND(YEAR(JanSun1+11)=$A$1,MONTH(JanSun1+11)=1),JanSun1+11, "")</f>
        <v>41284</v>
      </c>
      <c r="H5" s="61">
        <f>IF(AND(YEAR(JanSun1+12)=$A$1,MONTH(JanSun1+12)=1),JanSun1+12, "")</f>
        <v>41285</v>
      </c>
      <c r="I5" s="61">
        <f>IF(AND(YEAR(JanSun1+13)=$A$1,MONTH(JanSun1+13)=1),JanSun1+13, "")</f>
        <v>41286</v>
      </c>
      <c r="K5" s="61">
        <f>IF(AND(YEAR(AprSun1+7)=$A$1,MONTH(AprSun1+7)=4),AprSun1+7, "")</f>
        <v>41371</v>
      </c>
      <c r="L5" s="61">
        <f>IF(AND(YEAR(AprSun1+8)=$A$1,MONTH(AprSun1+8)=4),AprSun1+8, "")</f>
        <v>41372</v>
      </c>
      <c r="M5" s="61">
        <f>IF(AND(YEAR(AprSun1+9)=$A$1,MONTH(AprSun1+9)=4),AprSun1+9, "")</f>
        <v>41373</v>
      </c>
      <c r="N5" s="61">
        <f>IF(AND(YEAR(AprSun1+10)=$A$1,MONTH(AprSun1+10)=4),AprSun1+10, "")</f>
        <v>41374</v>
      </c>
      <c r="O5" s="61">
        <f>IF(AND(YEAR(AprSun1+11)=$A$1,MONTH(AprSun1+11)=4),AprSun1+11, "")</f>
        <v>41375</v>
      </c>
      <c r="P5" s="61">
        <f>IF(AND(YEAR(AprSun1+12)=$A$1,MONTH(AprSun1+12)=4),AprSun1+12, "")</f>
        <v>41376</v>
      </c>
      <c r="Q5" s="61">
        <f>IF(AND(YEAR(AprSun1+13)=$A$1,MONTH(AprSun1+13)=4),AprSun1+13, "")</f>
        <v>41377</v>
      </c>
      <c r="S5" s="61">
        <f>IF(AND(YEAR(JulSun1+7)=$A$1,MONTH(JulSun1+7)=7),JulSun1+7, "")</f>
        <v>41462</v>
      </c>
      <c r="T5" s="61">
        <f>IF(AND(YEAR(JulSun1+8)=$A$1,MONTH(JulSun1+8)=7),JulSun1+8, "")</f>
        <v>41463</v>
      </c>
      <c r="U5" s="61">
        <f>IF(AND(YEAR(JulSun1+9)=$A$1,MONTH(JulSun1+9)=7),JulSun1+9, "")</f>
        <v>41464</v>
      </c>
      <c r="V5" s="61">
        <f>IF(AND(YEAR(JulSun1+10)=$A$1,MONTH(JulSun1+10)=7),JulSun1+10, "")</f>
        <v>41465</v>
      </c>
      <c r="W5" s="61">
        <f>IF(AND(YEAR(JulSun1+11)=$A$1,MONTH(JulSun1+11)=7),JulSun1+11, "")</f>
        <v>41466</v>
      </c>
      <c r="X5" s="61">
        <f>IF(AND(YEAR(JulSun1+12)=$A$1,MONTH(JulSun1+12)=7),JulSun1+12, "")</f>
        <v>41467</v>
      </c>
      <c r="Y5" s="61">
        <f>IF(AND(YEAR(JulSun1+13)=$A$1,MONTH(JulSun1+13)=7),JulSun1+13, "")</f>
        <v>41468</v>
      </c>
      <c r="AA5" s="77">
        <f>IF(AND(YEAR(OctSun1+7)=$A$1,MONTH(OctSun1+7)=10),OctSun1+7, "")</f>
        <v>41553</v>
      </c>
      <c r="AB5" s="70">
        <f>IF(AND(YEAR(OctSun1+8)=$A$1,MONTH(OctSun1+8)=10),OctSun1+8, "")</f>
        <v>41554</v>
      </c>
      <c r="AC5" s="70">
        <f>IF(AND(YEAR(OctSun1+9)=$A$1,MONTH(OctSun1+9)=10),OctSun1+9, "")</f>
        <v>41555</v>
      </c>
      <c r="AD5" s="70">
        <f>IF(AND(YEAR(OctSun1+10)=$A$1,MONTH(OctSun1+10)=10),OctSun1+10, "")</f>
        <v>41556</v>
      </c>
      <c r="AE5" s="70">
        <f>IF(AND(YEAR(OctSun1+11)=$A$1,MONTH(OctSun1+11)=10),OctSun1+11, "")</f>
        <v>41557</v>
      </c>
      <c r="AF5" s="70">
        <f>IF(AND(YEAR(OctSun1+12)=$A$1,MONTH(OctSun1+12)=10),OctSun1+12, "")</f>
        <v>41558</v>
      </c>
      <c r="AG5" s="61">
        <f>IF(AND(YEAR(OctSun1+13)=$A$1,MONTH(OctSun1+13)=10),OctSun1+13, "")</f>
        <v>41559</v>
      </c>
    </row>
    <row r="6" spans="1:41" ht="15.95" customHeight="1" x14ac:dyDescent="0.2">
      <c r="C6" s="61">
        <f>IF(AND(YEAR(JanSun1+14)=$A$1,MONTH(JanSun1+14)=1),JanSun1+14, "")</f>
        <v>41287</v>
      </c>
      <c r="D6" s="61">
        <f>IF(AND(YEAR(JanSun1+15)=$A$1,MONTH(JanSun1+15)=1),JanSun1+15, "")</f>
        <v>41288</v>
      </c>
      <c r="E6" s="61">
        <f>IF(AND(YEAR(JanSun1+16)=$A$1,MONTH(JanSun1+16)=1),JanSun1+16, "")</f>
        <v>41289</v>
      </c>
      <c r="F6" s="61">
        <f>IF(AND(YEAR(JanSun1+17)=$A$1,MONTH(JanSun1+17)=1),JanSun1+17, "")</f>
        <v>41290</v>
      </c>
      <c r="G6" s="61">
        <f>IF(AND(YEAR(JanSun1+18)=$A$1,MONTH(JanSun1+18)=1),JanSun1+18, "")</f>
        <v>41291</v>
      </c>
      <c r="H6" s="61">
        <f>IF(AND(YEAR(JanSun1+19)=$A$1,MONTH(JanSun1+19)=1),JanSun1+19, "")</f>
        <v>41292</v>
      </c>
      <c r="I6" s="61">
        <f>IF(AND(YEAR(JanSun1+20)=$A$1,MONTH(JanSun1+20)=1),JanSun1+20, "")</f>
        <v>41293</v>
      </c>
      <c r="K6" s="61">
        <f>IF(AND(YEAR(AprSun1+14)=$A$1,MONTH(AprSun1+14)=4),AprSun1+14, "")</f>
        <v>41378</v>
      </c>
      <c r="L6" s="61">
        <f>IF(AND(YEAR(AprSun1+15)=$A$1,MONTH(AprSun1+15)=4),AprSun1+15, "")</f>
        <v>41379</v>
      </c>
      <c r="M6" s="61">
        <f>IF(AND(YEAR(AprSun1+16)=$A$1,MONTH(AprSun1+16)=4),AprSun1+16, "")</f>
        <v>41380</v>
      </c>
      <c r="N6" s="61">
        <f>IF(AND(YEAR(AprSun1+17)=$A$1,MONTH(AprSun1+17)=4),AprSun1+17, "")</f>
        <v>41381</v>
      </c>
      <c r="O6" s="61">
        <f>IF(AND(YEAR(AprSun1+18)=$A$1,MONTH(AprSun1+18)=4),AprSun1+18, "")</f>
        <v>41382</v>
      </c>
      <c r="P6" s="61">
        <f>IF(AND(YEAR(AprSun1+19)=$A$1,MONTH(AprSun1+19)=4),AprSun1+19, "")</f>
        <v>41383</v>
      </c>
      <c r="Q6" s="61">
        <f>IF(AND(YEAR(AprSun1+20)=$A$1,MONTH(AprSun1+20)=4),AprSun1+20, "")</f>
        <v>41384</v>
      </c>
      <c r="S6" s="61">
        <f>IF(AND(YEAR(JulSun1+14)=$A$1,MONTH(JulSun1+14)=7),JulSun1+14, "")</f>
        <v>41469</v>
      </c>
      <c r="T6" s="61">
        <f>IF(AND(YEAR(JulSun1+15)=$A$1,MONTH(JulSun1+15)=7),JulSun1+15, "")</f>
        <v>41470</v>
      </c>
      <c r="U6" s="61">
        <f>IF(AND(YEAR(JulSun1+16)=$A$1,MONTH(JulSun1+16)=7),JulSun1+16, "")</f>
        <v>41471</v>
      </c>
      <c r="V6" s="61">
        <f>IF(AND(YEAR(JulSun1+17)=$A$1,MONTH(JulSun1+17)=7),JulSun1+17, "")</f>
        <v>41472</v>
      </c>
      <c r="W6" s="61">
        <f>IF(AND(YEAR(JulSun1+18)=$A$1,MONTH(JulSun1+18)=7),JulSun1+18, "")</f>
        <v>41473</v>
      </c>
      <c r="X6" s="61">
        <f>IF(AND(YEAR(JulSun1+19)=$A$1,MONTH(JulSun1+19)=7),JulSun1+19, "")</f>
        <v>41474</v>
      </c>
      <c r="Y6" s="61">
        <f>IF(AND(YEAR(JulSun1+20)=$A$1,MONTH(JulSun1+20)=7),JulSun1+20, "")</f>
        <v>41475</v>
      </c>
      <c r="AA6" s="61">
        <f>IF(AND(YEAR(OctSun1+14)=$A$1,MONTH(OctSun1+14)=10),OctSun1+14, "")</f>
        <v>41560</v>
      </c>
      <c r="AB6" s="70">
        <f>IF(AND(YEAR(OctSun1+15)=$A$1,MONTH(OctSun1+15)=10),OctSun1+15, "")</f>
        <v>41561</v>
      </c>
      <c r="AC6" s="70">
        <f>IF(AND(YEAR(OctSun1+16)=$A$1,MONTH(OctSun1+16)=10),OctSun1+16, "")</f>
        <v>41562</v>
      </c>
      <c r="AD6" s="70">
        <f>IF(AND(YEAR(OctSun1+17)=$A$1,MONTH(OctSun1+17)=10),OctSun1+17, "")</f>
        <v>41563</v>
      </c>
      <c r="AE6" s="70">
        <f>IF(AND(YEAR(OctSun1+18)=$A$1,MONTH(OctSun1+18)=10),OctSun1+18, "")</f>
        <v>41564</v>
      </c>
      <c r="AF6" s="70">
        <f>IF(AND(YEAR(OctSun1+19)=$A$1,MONTH(OctSun1+19)=10),OctSun1+19, "")</f>
        <v>41565</v>
      </c>
      <c r="AG6" s="61">
        <f>IF(AND(YEAR(OctSun1+20)=$A$1,MONTH(OctSun1+20)=10),OctSun1+20, "")</f>
        <v>41566</v>
      </c>
    </row>
    <row r="7" spans="1:41" ht="15.95" customHeight="1" x14ac:dyDescent="0.2">
      <c r="C7" s="61">
        <f>IF(AND(YEAR(JanSun1+21)=$A$1,MONTH(JanSun1+21)=1),JanSun1+21, "")</f>
        <v>41294</v>
      </c>
      <c r="D7" s="61">
        <f>IF(AND(YEAR(JanSun1+22)=$A$1,MONTH(JanSun1+22)=1),JanSun1+22, "")</f>
        <v>41295</v>
      </c>
      <c r="E7" s="61">
        <f>IF(AND(YEAR(JanSun1+23)=$A$1,MONTH(JanSun1+23)=1),JanSun1+23, "")</f>
        <v>41296</v>
      </c>
      <c r="F7" s="61">
        <f>IF(AND(YEAR(JanSun1+24)=$A$1,MONTH(JanSun1+24)=1),JanSun1+24, "")</f>
        <v>41297</v>
      </c>
      <c r="G7" s="61">
        <f>IF(AND(YEAR(JanSun1+25)=$A$1,MONTH(JanSun1+25)=1),JanSun1+25, "")</f>
        <v>41298</v>
      </c>
      <c r="H7" s="61">
        <f>IF(AND(YEAR(JanSun1+26)=$A$1,MONTH(JanSun1+26)=1),JanSun1+26, "")</f>
        <v>41299</v>
      </c>
      <c r="I7" s="61">
        <f>IF(AND(YEAR(JanSun1+27)=$A$1,MONTH(JanSun1+27)=1),JanSun1+27, "")</f>
        <v>41300</v>
      </c>
      <c r="K7" s="61">
        <f>IF(AND(YEAR(AprSun1+21)=$A$1,MONTH(AprSun1+21)=4),AprSun1+21, "")</f>
        <v>41385</v>
      </c>
      <c r="L7" s="61">
        <f>IF(AND(YEAR(AprSun1+22)=$A$1,MONTH(AprSun1+22)=4),AprSun1+22, "")</f>
        <v>41386</v>
      </c>
      <c r="M7" s="69">
        <f>IF(AND(YEAR(AprSun1+23)=$A$1,MONTH(AprSun1+23)=4),AprSun1+23, "")</f>
        <v>41387</v>
      </c>
      <c r="N7" s="69">
        <f>IF(AND(YEAR(AprSun1+24)=$A$1,MONTH(AprSun1+24)=4),AprSun1+24, "")</f>
        <v>41388</v>
      </c>
      <c r="O7" s="61">
        <f>IF(AND(YEAR(AprSun1+25)=$A$1,MONTH(AprSun1+25)=4),AprSun1+25, "")</f>
        <v>41389</v>
      </c>
      <c r="P7" s="61">
        <f>IF(AND(YEAR(AprSun1+26)=$A$1,MONTH(AprSun1+26)=4),AprSun1+26, "")</f>
        <v>41390</v>
      </c>
      <c r="Q7" s="61">
        <f>IF(AND(YEAR(AprSun1+27)=$A$1,MONTH(AprSun1+27)=4),AprSun1+27, "")</f>
        <v>41391</v>
      </c>
      <c r="S7" s="61">
        <f>IF(AND(YEAR(JulSun1+21)=$A$1,MONTH(JulSun1+21)=7),JulSun1+21, "")</f>
        <v>41476</v>
      </c>
      <c r="T7" s="61">
        <f>IF(AND(YEAR(JulSun1+22)=$A$1,MONTH(JulSun1+22)=7),JulSun1+22, "")</f>
        <v>41477</v>
      </c>
      <c r="U7" s="61">
        <f>IF(AND(YEAR(JulSun1+23)=$A$1,MONTH(JulSun1+23)=7),JulSun1+23, "")</f>
        <v>41478</v>
      </c>
      <c r="V7" s="61">
        <f>IF(AND(YEAR(JulSun1+24)=$A$1,MONTH(JulSun1+24)=7),JulSun1+24, "")</f>
        <v>41479</v>
      </c>
      <c r="W7" s="61">
        <f>IF(AND(YEAR(JulSun1+25)=$A$1,MONTH(JulSun1+25)=7),JulSun1+25, "")</f>
        <v>41480</v>
      </c>
      <c r="X7" s="61">
        <f>IF(AND(YEAR(JulSun1+26)=$A$1,MONTH(JulSun1+26)=7),JulSun1+26, "")</f>
        <v>41481</v>
      </c>
      <c r="Y7" s="61">
        <f>IF(AND(YEAR(JulSun1+27)=$A$1,MONTH(JulSun1+27)=7),JulSun1+27, "")</f>
        <v>41482</v>
      </c>
      <c r="AA7" s="61">
        <f>IF(AND(YEAR(OctSun1+21)=$A$1,MONTH(OctSun1+21)=10),OctSun1+21, "")</f>
        <v>41567</v>
      </c>
      <c r="AB7" s="70">
        <f>IF(AND(YEAR(OctSun1+22)=$A$1,MONTH(OctSun1+22)=10),OctSun1+22, "")</f>
        <v>41568</v>
      </c>
      <c r="AC7" s="70">
        <f>IF(AND(YEAR(OctSun1+23)=$A$1,MONTH(OctSun1+23)=10),OctSun1+23, "")</f>
        <v>41569</v>
      </c>
      <c r="AD7" s="70">
        <f>IF(AND(YEAR(OctSun1+24)=$A$1,MONTH(OctSun1+24)=10),OctSun1+24, "")</f>
        <v>41570</v>
      </c>
      <c r="AE7" s="70">
        <f>IF(AND(YEAR(OctSun1+25)=$A$1,MONTH(OctSun1+25)=10),OctSun1+25, "")</f>
        <v>41571</v>
      </c>
      <c r="AF7" s="70">
        <f>IF(AND(YEAR(OctSun1+26)=$A$1,MONTH(OctSun1+26)=10),OctSun1+26, "")</f>
        <v>41572</v>
      </c>
      <c r="AG7" s="61">
        <f>IF(AND(YEAR(OctSun1+27)=$A$1,MONTH(OctSun1+27)=10),OctSun1+27, "")</f>
        <v>41573</v>
      </c>
    </row>
    <row r="8" spans="1:41" ht="15.95" customHeight="1" x14ac:dyDescent="0.2">
      <c r="C8" s="61">
        <f>IF(AND(YEAR(JanSun1+28)=$A$1,MONTH(JanSun1+28)=1),JanSun1+28, "")</f>
        <v>41301</v>
      </c>
      <c r="D8" s="61">
        <f>IF(AND(YEAR(JanSun1+29)=$A$1,MONTH(JanSun1+29)=1),JanSun1+29, "")</f>
        <v>41302</v>
      </c>
      <c r="E8" s="61">
        <f>IF(AND(YEAR(JanSun1+30)=$A$1,MONTH(JanSun1+30)=1),JanSun1+30, "")</f>
        <v>41303</v>
      </c>
      <c r="F8" s="61">
        <f>IF(AND(YEAR(JanSun1+31)=$A$1,MONTH(JanSun1+31)=1),JanSun1+31, "")</f>
        <v>41304</v>
      </c>
      <c r="G8" s="61">
        <f>IF(AND(YEAR(JanSun1+32)=$A$1,MONTH(JanSun1+32)=1),JanSun1+32, "")</f>
        <v>41305</v>
      </c>
      <c r="H8" s="61" t="str">
        <f>IF(AND(YEAR(JanSun1+33)=$A$1,MONTH(JanSun1+33)=1),JanSun1+33, "")</f>
        <v/>
      </c>
      <c r="I8" s="61" t="str">
        <f>IF(AND(YEAR(JanSun1+34)=$A$1,MONTH(JanSun1+34)=1),JanSun1+34, "")</f>
        <v/>
      </c>
      <c r="K8" s="61">
        <f>IF(AND(YEAR(AprSun1+28)=$A$1,MONTH(AprSun1+28)=4),AprSun1+28, "")</f>
        <v>41392</v>
      </c>
      <c r="L8" s="61">
        <f>IF(AND(YEAR(AprSun1+29)=$A$1,MONTH(AprSun1+29)=4),AprSun1+29, "")</f>
        <v>41393</v>
      </c>
      <c r="M8" s="61">
        <f>IF(AND(YEAR(AprSun1+30)=$A$1,MONTH(AprSun1+30)=4),AprSun1+30, "")</f>
        <v>41394</v>
      </c>
      <c r="N8" s="61" t="str">
        <f>IF(AND(YEAR(AprSun1+31)=$A$1,MONTH(AprSun1+31)=4),AprSun1+31, "")</f>
        <v/>
      </c>
      <c r="O8" s="61" t="str">
        <f>IF(AND(YEAR(AprSun1+32)=$A$1,MONTH(AprSun1+32)=4),AprSun1+32, "")</f>
        <v/>
      </c>
      <c r="P8" s="61" t="str">
        <f>IF(AND(YEAR(AprSun1+33)=$A$1,MONTH(AprSun1+33)=4),AprSun1+33, "")</f>
        <v/>
      </c>
      <c r="Q8" s="61" t="str">
        <f>IF(AND(YEAR(AprSun1+34)=$A$1,MONTH(AprSun1+34)=4),AprSun1+34, "")</f>
        <v/>
      </c>
      <c r="S8" s="61">
        <f>IF(AND(YEAR(JulSun1+28)=$A$1,MONTH(JulSun1+28)=7),JulSun1+28, "")</f>
        <v>41483</v>
      </c>
      <c r="T8" s="61">
        <f>IF(AND(YEAR(JulSun1+29)=$A$1,MONTH(JulSun1+29)=7),JulSun1+29, "")</f>
        <v>41484</v>
      </c>
      <c r="U8" s="61">
        <f>IF(AND(YEAR(JulSun1+30)=$A$1,MONTH(JulSun1+30)=7),JulSun1+30, "")</f>
        <v>41485</v>
      </c>
      <c r="V8" s="61">
        <f>IF(AND(YEAR(JulSun1+31)=$A$1,MONTH(JulSun1+31)=7),JulSun1+31, "")</f>
        <v>41486</v>
      </c>
      <c r="W8" s="61" t="str">
        <f>IF(AND(YEAR(JulSun1+32)=$A$1,MONTH(JulSun1+32)=7),JulSun1+32, "")</f>
        <v/>
      </c>
      <c r="X8" s="61" t="str">
        <f>IF(AND(YEAR(JulSun1+33)=$A$1,MONTH(JulSun1+33)=7),JulSun1+33, "")</f>
        <v/>
      </c>
      <c r="Y8" s="61" t="str">
        <f>IF(AND(YEAR(JulSun1+34)=$A$1,MONTH(JulSun1+34)=7),JulSun1+34, "")</f>
        <v/>
      </c>
      <c r="AA8" s="61">
        <f>IF(AND(YEAR(OctSun1+28)=$A$1,MONTH(OctSun1+28)=10),OctSun1+28, "")</f>
        <v>41574</v>
      </c>
      <c r="AB8" s="70">
        <f>IF(AND(YEAR(OctSun1+29)=$A$1,MONTH(OctSun1+29)=10),OctSun1+29, "")</f>
        <v>41575</v>
      </c>
      <c r="AC8" s="70">
        <f>IF(AND(YEAR(OctSun1+30)=$A$1,MONTH(OctSun1+30)=10),OctSun1+30, "")</f>
        <v>41576</v>
      </c>
      <c r="AD8" s="70">
        <f>IF(AND(YEAR(OctSun1+31)=$A$1,MONTH(OctSun1+31)=10),OctSun1+31, "")</f>
        <v>41577</v>
      </c>
      <c r="AE8" s="70">
        <f>IF(AND(YEAR(OctSun1+32)=$A$1,MONTH(OctSun1+32)=10),OctSun1+32, "")</f>
        <v>41578</v>
      </c>
      <c r="AF8" s="61" t="str">
        <f>IF(AND(YEAR(OctSun1+33)=$A$1,MONTH(OctSun1+33)=10),OctSun1+33, "")</f>
        <v/>
      </c>
      <c r="AG8" s="61" t="str">
        <f>IF(AND(YEAR(OctSun1+34)=$A$1,MONTH(OctSun1+34)=10),OctSun1+34, "")</f>
        <v/>
      </c>
    </row>
    <row r="9" spans="1:41" ht="15.95" customHeight="1" x14ac:dyDescent="0.2">
      <c r="C9" s="62" t="str">
        <f>IF(AND(YEAR(JanSun1+35)=$A$1,MONTH(JanSun1+35)=1),JanSun1+35, "")</f>
        <v/>
      </c>
      <c r="D9" s="62" t="str">
        <f>IF(AND(YEAR(JanSun1+36)=$A$1,MONTH(JanSun1+36)=1),JanSun1+36, "")</f>
        <v/>
      </c>
      <c r="E9" s="62" t="str">
        <f>IF(AND(YEAR(JanSun1+37)=$A$1,MONTH(JanSun1+37)=1),JanSun1+37, "")</f>
        <v/>
      </c>
      <c r="F9" s="62" t="str">
        <f>IF(AND(YEAR(JanSun1+38)=$A$1,MONTH(JanSun1+38)=1),JanSun1+38, "")</f>
        <v/>
      </c>
      <c r="G9" s="62" t="str">
        <f>IF(AND(YEAR(JanSun1+39)=$A$1,MONTH(JanSun1+39)=1),JanSun1+39, "")</f>
        <v/>
      </c>
      <c r="H9" s="62" t="str">
        <f>IF(AND(YEAR(JanSun1+40)=$A$1,MONTH(JanSun1+40)=1),JanSun1+40, "")</f>
        <v/>
      </c>
      <c r="I9" s="62" t="str">
        <f>IF(AND(YEAR(JanSun1+41)=$A$1,MONTH(JanSun1+41)=1),JanSun1+41, "")</f>
        <v/>
      </c>
      <c r="K9" s="62" t="str">
        <f>IF(AND(YEAR(AprSun1+35)=$A$1,MONTH(AprSun1+35)=4),AprSun1+35, "")</f>
        <v/>
      </c>
      <c r="L9" s="62" t="str">
        <f>IF(AND(YEAR(AprSun1+36)=$A$1,MONTH(AprSun1+36)=4),AprSun1+36, "")</f>
        <v/>
      </c>
      <c r="M9" s="62" t="str">
        <f>IF(AND(YEAR(AprSun1+37)=$A$1,MONTH(AprSun1+37)=4),AprSun1+37, "")</f>
        <v/>
      </c>
      <c r="N9" s="62" t="str">
        <f>IF(AND(YEAR(AprSun1+38)=$A$1,MONTH(AprSun1+38)=4),AprSun1+38, "")</f>
        <v/>
      </c>
      <c r="O9" s="62" t="str">
        <f>IF(AND(YEAR(AprSun1+39)=$A$1,MONTH(AprSun1+39)=4),AprSun1+39, "")</f>
        <v/>
      </c>
      <c r="P9" s="62" t="str">
        <f>IF(AND(YEAR(AprSun1+40)=$A$1,MONTH(AprSun1+40)=4),AprSun1+40, "")</f>
        <v/>
      </c>
      <c r="Q9" s="62" t="str">
        <f>IF(AND(YEAR(AprSun1+41)=$A$1,MONTH(AprSun1+41)=4),AprSun1+41, "")</f>
        <v/>
      </c>
      <c r="S9" s="62" t="str">
        <f>IF(AND(YEAR(JulSun1+35)=$A$1,MONTH(JulSun1+35)=7),JulSun1+35, "")</f>
        <v/>
      </c>
      <c r="T9" s="62" t="str">
        <f>IF(AND(YEAR(JulSun1+36)=$A$1,MONTH(JulSun1+36)=7),JulSun1+36, "")</f>
        <v/>
      </c>
      <c r="U9" s="62" t="str">
        <f>IF(AND(YEAR(JulSun1+37)=$A$1,MONTH(JulSun1+37)=7),JulSun1+37, "")</f>
        <v/>
      </c>
      <c r="V9" s="62" t="str">
        <f>IF(AND(YEAR(JulSun1+38)=$A$1,MONTH(JulSun1+38)=7),JulSun1+38, "")</f>
        <v/>
      </c>
      <c r="W9" s="62" t="str">
        <f>IF(AND(YEAR(JulSun1+39)=$A$1,MONTH(JulSun1+39)=7),JulSun1+39, "")</f>
        <v/>
      </c>
      <c r="X9" s="62" t="str">
        <f>IF(AND(YEAR(JulSun1+40)=$A$1,MONTH(JulSun1+40)=7),JulSun1+40, "")</f>
        <v/>
      </c>
      <c r="Y9" s="62" t="str">
        <f>IF(AND(YEAR(JulSun1+41)=$A$1,MONTH(JulSun1+41)=7),JulSun1+41, "")</f>
        <v/>
      </c>
      <c r="AA9" s="62" t="str">
        <f>IF(AND(YEAR(OctSun1+35)=$A$1,MONTH(OctSun1+35)=10),OctSun1+35, "")</f>
        <v/>
      </c>
      <c r="AB9" s="62" t="str">
        <f>IF(AND(YEAR(OctSun1+36)=$A$1,MONTH(OctSun1+36)=10),OctSun1+36, "")</f>
        <v/>
      </c>
      <c r="AC9" s="62" t="str">
        <f>IF(AND(YEAR(OctSun1+37)=$A$1,MONTH(OctSun1+37)=10),OctSun1+37, "")</f>
        <v/>
      </c>
      <c r="AD9" s="62" t="str">
        <f>IF(AND(YEAR(OctSun1+38)=$A$1,MONTH(OctSun1+38)=10),OctSun1+38, "")</f>
        <v/>
      </c>
      <c r="AE9" s="62" t="str">
        <f>IF(AND(YEAR(OctSun1+39)=$A$1,MONTH(OctSun1+39)=10),OctSun1+39, "")</f>
        <v/>
      </c>
      <c r="AF9" s="62" t="str">
        <f>IF(AND(YEAR(OctSun1+40)=$A$1,MONTH(OctSun1+40)=10),OctSun1+40, "")</f>
        <v/>
      </c>
      <c r="AG9" s="62" t="str">
        <f>IF(AND(YEAR(OctSun1+41)=$A$1,MONTH(OctSun1+41)=10),OctSun1+41, "")</f>
        <v/>
      </c>
    </row>
    <row r="10" spans="1:41" ht="15.95" customHeight="1" x14ac:dyDescent="0.2">
      <c r="B10" s="63"/>
      <c r="C10" s="64"/>
      <c r="D10" s="64"/>
      <c r="E10" s="64"/>
      <c r="F10" s="64"/>
      <c r="G10" s="64"/>
      <c r="H10" s="64"/>
      <c r="I10" s="64"/>
      <c r="J10" s="63"/>
      <c r="K10" s="64"/>
      <c r="L10" s="64"/>
      <c r="M10" s="64"/>
      <c r="N10" s="64"/>
      <c r="O10" s="64"/>
      <c r="P10" s="64"/>
      <c r="Q10" s="64"/>
      <c r="R10" s="63"/>
      <c r="S10" s="64"/>
      <c r="T10" s="64"/>
      <c r="U10" s="64"/>
      <c r="V10" s="64"/>
      <c r="W10" s="64"/>
      <c r="X10" s="64"/>
      <c r="Y10" s="64"/>
      <c r="Z10" s="63"/>
      <c r="AA10" s="64"/>
      <c r="AB10" s="64"/>
      <c r="AC10" s="64"/>
      <c r="AD10" s="64"/>
      <c r="AE10" s="64"/>
      <c r="AF10" s="64"/>
      <c r="AG10" s="64"/>
      <c r="AH10" s="63"/>
    </row>
    <row r="11" spans="1:41" ht="15.95" customHeight="1" x14ac:dyDescent="0.2">
      <c r="C11" s="162" t="s">
        <v>80</v>
      </c>
      <c r="D11" s="163"/>
      <c r="E11" s="163"/>
      <c r="F11" s="163"/>
      <c r="G11" s="163"/>
      <c r="H11" s="163"/>
      <c r="I11" s="164"/>
      <c r="K11" s="162" t="s">
        <v>81</v>
      </c>
      <c r="L11" s="163"/>
      <c r="M11" s="163"/>
      <c r="N11" s="163"/>
      <c r="O11" s="163"/>
      <c r="P11" s="163"/>
      <c r="Q11" s="164"/>
      <c r="S11" s="162" t="s">
        <v>82</v>
      </c>
      <c r="T11" s="163"/>
      <c r="U11" s="163"/>
      <c r="V11" s="163"/>
      <c r="W11" s="163"/>
      <c r="X11" s="163"/>
      <c r="Y11" s="164"/>
      <c r="AA11" s="162" t="s">
        <v>83</v>
      </c>
      <c r="AB11" s="163"/>
      <c r="AC11" s="163"/>
      <c r="AD11" s="163"/>
      <c r="AE11" s="163"/>
      <c r="AF11" s="163"/>
      <c r="AG11" s="164"/>
    </row>
    <row r="12" spans="1:41" ht="15.95" customHeight="1" x14ac:dyDescent="0.2">
      <c r="B12" s="59"/>
      <c r="C12" s="60" t="s">
        <v>75</v>
      </c>
      <c r="D12" s="60" t="s">
        <v>76</v>
      </c>
      <c r="E12" s="60" t="s">
        <v>77</v>
      </c>
      <c r="F12" s="60" t="s">
        <v>78</v>
      </c>
      <c r="G12" s="60" t="s">
        <v>77</v>
      </c>
      <c r="H12" s="60" t="s">
        <v>79</v>
      </c>
      <c r="I12" s="60" t="s">
        <v>75</v>
      </c>
      <c r="K12" s="60" t="s">
        <v>75</v>
      </c>
      <c r="L12" s="60" t="s">
        <v>76</v>
      </c>
      <c r="M12" s="60" t="s">
        <v>77</v>
      </c>
      <c r="N12" s="60" t="s">
        <v>78</v>
      </c>
      <c r="O12" s="60" t="s">
        <v>77</v>
      </c>
      <c r="P12" s="60" t="s">
        <v>79</v>
      </c>
      <c r="Q12" s="60" t="s">
        <v>75</v>
      </c>
      <c r="S12" s="60" t="s">
        <v>75</v>
      </c>
      <c r="T12" s="60" t="s">
        <v>76</v>
      </c>
      <c r="U12" s="60" t="s">
        <v>77</v>
      </c>
      <c r="V12" s="60" t="s">
        <v>78</v>
      </c>
      <c r="W12" s="60" t="s">
        <v>77</v>
      </c>
      <c r="X12" s="60" t="s">
        <v>79</v>
      </c>
      <c r="Y12" s="60" t="s">
        <v>75</v>
      </c>
      <c r="AA12" s="60" t="s">
        <v>75</v>
      </c>
      <c r="AB12" s="60" t="s">
        <v>76</v>
      </c>
      <c r="AC12" s="60" t="s">
        <v>77</v>
      </c>
      <c r="AD12" s="60" t="s">
        <v>78</v>
      </c>
      <c r="AE12" s="60" t="s">
        <v>77</v>
      </c>
      <c r="AF12" s="60" t="s">
        <v>79</v>
      </c>
      <c r="AG12" s="60" t="s">
        <v>75</v>
      </c>
    </row>
    <row r="13" spans="1:41" ht="15.95" customHeight="1" x14ac:dyDescent="0.2">
      <c r="C13" s="61" t="str">
        <f>IF(AND(YEAR(FebSun1)=$A$1,MONTH(FebSun1)=2),FebSun1, "")</f>
        <v/>
      </c>
      <c r="D13" s="61" t="str">
        <f>IF(AND(YEAR(FebSun1+1)=$A$1,MONTH(FebSun1+1)=2),FebSun1+1, "")</f>
        <v/>
      </c>
      <c r="E13" s="61" t="str">
        <f>IF(AND(YEAR(FebSun1+2)=$A$1,MONTH(FebSun1+2)=2),FebSun1+2, "")</f>
        <v/>
      </c>
      <c r="F13" s="61" t="str">
        <f>IF(AND(YEAR(FebSun1+3)=$A$1,MONTH(FebSun1+3)=2),FebSun1+3, "")</f>
        <v/>
      </c>
      <c r="G13" s="61" t="str">
        <f>IF(AND(YEAR(FebSun1+4)=$A$1,MONTH(FebSun1+4)=2),FebSun1+4, "")</f>
        <v/>
      </c>
      <c r="H13" s="61">
        <f>IF(AND(YEAR(FebSun1+5)=$A$1,MONTH(FebSun1+5)=2),FebSun1+5, "")</f>
        <v>41306</v>
      </c>
      <c r="I13" s="61">
        <f>IF(AND(YEAR(FebSun1+6)=$A$1,MONTH(FebSun1+6)=2),FebSun1+6, "")</f>
        <v>41307</v>
      </c>
      <c r="K13" s="61" t="str">
        <f>IF(AND(YEAR(MaySun1)=$A$1,MONTH(MaySun1)=5),MaySun1, "")</f>
        <v/>
      </c>
      <c r="L13" s="61" t="str">
        <f>IF(AND(YEAR(MaySun1+1)=$A$1,MONTH(MaySun1+1)=5),MaySun1+1, "")</f>
        <v/>
      </c>
      <c r="M13" s="61" t="str">
        <f>IF(AND(YEAR(MaySun1+2)=$A$1,MONTH(MaySun1+2)=5),MaySun1+2, "")</f>
        <v/>
      </c>
      <c r="N13" s="61">
        <f>IF(AND(YEAR(MaySun1+3)=$A$1,MONTH(MaySun1+3)=5),MaySun1+3, "")</f>
        <v>41395</v>
      </c>
      <c r="O13" s="61">
        <f>IF(AND(YEAR(MaySun1+4)=$A$1,MONTH(MaySun1+4)=5),MaySun1+4, "")</f>
        <v>41396</v>
      </c>
      <c r="P13" s="61">
        <f>IF(AND(YEAR(MaySun1+5)=$A$1,MONTH(MaySun1+5)=5),MaySun1+5, "")</f>
        <v>41397</v>
      </c>
      <c r="Q13" s="61">
        <f>IF(AND(YEAR(MaySun1+6)=$A$1,MONTH(MaySun1+6)=5),MaySun1+6, "")</f>
        <v>41398</v>
      </c>
      <c r="S13" s="61" t="str">
        <f>IF(AND(YEAR(AugSun1)=$A$1,MONTH(AugSun1)=8),AugSun1, "")</f>
        <v/>
      </c>
      <c r="T13" s="61" t="str">
        <f>IF(AND(YEAR(AugSun1+1)=$A$1,MONTH(AugSun1+1)=8),AugSun1+1, "")</f>
        <v/>
      </c>
      <c r="U13" s="61" t="str">
        <f>IF(AND(YEAR(AugSun1+2)=$A$1,MONTH(AugSun1+2)=8),AugSun1+2, "")</f>
        <v/>
      </c>
      <c r="V13" s="61" t="str">
        <f>IF(AND(YEAR(AugSun1+3)=$A$1,MONTH(AugSun1+3)=8),AugSun1+3, "")</f>
        <v/>
      </c>
      <c r="W13" s="61">
        <f>IF(AND(YEAR(AugSun1+4)=$A$1,MONTH(AugSun1+4)=8),AugSun1+4, "")</f>
        <v>41487</v>
      </c>
      <c r="X13" s="61">
        <f>IF(AND(YEAR(AugSun1+5)=$A$1,MONTH(AugSun1+5)=8),AugSun1+5, "")</f>
        <v>41488</v>
      </c>
      <c r="Y13" s="61">
        <f>IF(AND(YEAR(AugSun1+6)=$A$1,MONTH(AugSun1+6)=8),AugSun1+6, "")</f>
        <v>41489</v>
      </c>
      <c r="AA13" s="61" t="str">
        <f>IF(AND(YEAR(NovSun1)=$A$1,MONTH(NovSun1)=11),NovSun1, "")</f>
        <v/>
      </c>
      <c r="AB13" s="70" t="str">
        <f>IF(AND(YEAR(NovSun1+1)=$A$1,MONTH(NovSun1+1)=11),NovSun1+1, "")</f>
        <v/>
      </c>
      <c r="AC13" s="70" t="str">
        <f>IF(AND(YEAR(NovSun1+2)=$A$1,MONTH(NovSun1+2)=11),NovSun1+2, "")</f>
        <v/>
      </c>
      <c r="AD13" s="70" t="str">
        <f>IF(AND(YEAR(NovSun1+3)=$A$1,MONTH(NovSun1+3)=11),NovSun1+3, "")</f>
        <v/>
      </c>
      <c r="AE13" s="70" t="str">
        <f>IF(AND(YEAR(NovSun1+4)=$A$1,MONTH(NovSun1+4)=11),NovSun1+4, "")</f>
        <v/>
      </c>
      <c r="AF13" s="70">
        <f>IF(AND(YEAR(NovSun1+5)=$A$1,MONTH(NovSun1+5)=11),NovSun1+5, "")</f>
        <v>41579</v>
      </c>
      <c r="AG13" s="61">
        <f>IF(AND(YEAR(NovSun1+6)=$A$1,MONTH(NovSun1+6)=11),NovSun1+6, "")</f>
        <v>41580</v>
      </c>
    </row>
    <row r="14" spans="1:41" ht="15.95" customHeight="1" x14ac:dyDescent="0.2">
      <c r="C14" s="61">
        <f>IF(AND(YEAR(FebSun1+7)=$A$1,MONTH(FebSun1+7)=2),FebSun1+7, "")</f>
        <v>41308</v>
      </c>
      <c r="D14" s="61">
        <f>IF(AND(YEAR(FebSun1+8)=$A$1,MONTH(FebSun1+8)=2),FebSun1+8, "")</f>
        <v>41309</v>
      </c>
      <c r="E14" s="61">
        <f>IF(AND(YEAR(FebSun1+9)=$A$1,MONTH(FebSun1+9)=2),FebSun1+9, "")</f>
        <v>41310</v>
      </c>
      <c r="F14" s="61">
        <f>IF(AND(YEAR(FebSun1+10)=$A$1,MONTH(FebSun1+10)=2),FebSun1+10, "")</f>
        <v>41311</v>
      </c>
      <c r="G14" s="61">
        <f>IF(AND(YEAR(FebSun1+11)=$A$1,MONTH(FebSun1+11)=2),FebSun1+11, "")</f>
        <v>41312</v>
      </c>
      <c r="H14" s="61">
        <f>IF(AND(YEAR(FebSun1+12)=$A$1,MONTH(FebSun1+12)=2),FebSun1+12, "")</f>
        <v>41313</v>
      </c>
      <c r="I14" s="61">
        <f>IF(AND(YEAR(FebSun1+13)=$A$1,MONTH(FebSun1+13)=2),FebSun1+13, "")</f>
        <v>41314</v>
      </c>
      <c r="K14" s="61">
        <f>IF(AND(YEAR(MaySun1+7)=$A$1,MONTH(MaySun1+7)=5),MaySun1+7, "")</f>
        <v>41399</v>
      </c>
      <c r="L14" s="61">
        <f>IF(AND(YEAR(MaySun1+8)=$A$1,MONTH(MaySun1+8)=5),MaySun1+8, "")</f>
        <v>41400</v>
      </c>
      <c r="M14" s="61">
        <f>IF(AND(YEAR(MaySun1+9)=$A$1,MONTH(MaySun1+9)=5),MaySun1+9, "")</f>
        <v>41401</v>
      </c>
      <c r="N14" s="61">
        <f>IF(AND(YEAR(MaySun1+10)=$A$1,MONTH(MaySun1+10)=5),MaySun1+10, "")</f>
        <v>41402</v>
      </c>
      <c r="O14" s="61">
        <f>IF(AND(YEAR(MaySun1+11)=$A$1,MONTH(MaySun1+11)=5),MaySun1+11, "")</f>
        <v>41403</v>
      </c>
      <c r="P14" s="61">
        <f>IF(AND(YEAR(MaySun1+12)=$A$1,MONTH(MaySun1+12)=5),MaySun1+12, "")</f>
        <v>41404</v>
      </c>
      <c r="Q14" s="61">
        <f>IF(AND(YEAR(MaySun1+13)=$A$1,MONTH(MaySun1+13)=5),MaySun1+13, "")</f>
        <v>41405</v>
      </c>
      <c r="S14" s="61">
        <f>IF(AND(YEAR(AugSun1+7)=$A$1,MONTH(AugSun1+7)=8),AugSun1+7, "")</f>
        <v>41490</v>
      </c>
      <c r="T14" s="61">
        <f>IF(AND(YEAR(AugSun1+8)=$A$1,MONTH(AugSun1+8)=8),AugSun1+8, "")</f>
        <v>41491</v>
      </c>
      <c r="U14" s="61">
        <f>IF(AND(YEAR(AugSun1+9)=$A$1,MONTH(AugSun1+9)=8),AugSun1+9, "")</f>
        <v>41492</v>
      </c>
      <c r="V14" s="61">
        <f>IF(AND(YEAR(AugSun1+10)=$A$1,MONTH(AugSun1+10)=8),AugSun1+10, "")</f>
        <v>41493</v>
      </c>
      <c r="W14" s="61">
        <f>IF(AND(YEAR(AugSun1+11)=$A$1,MONTH(AugSun1+11)=8),AugSun1+11, "")</f>
        <v>41494</v>
      </c>
      <c r="X14" s="61">
        <f>IF(AND(YEAR(AugSun1+12)=$A$1,MONTH(AugSun1+12)=8),AugSun1+12, "")</f>
        <v>41495</v>
      </c>
      <c r="Y14" s="61">
        <f>IF(AND(YEAR(AugSun1+13)=$A$1,MONTH(AugSun1+13)=8),AugSun1+13, "")</f>
        <v>41496</v>
      </c>
      <c r="AA14" s="61">
        <f>IF(AND(YEAR(NovSun1+7)=$A$1,MONTH(NovSun1+7)=11),NovSun1+7, "")</f>
        <v>41581</v>
      </c>
      <c r="AB14" s="70">
        <f>IF(AND(YEAR(NovSun1+8)=$A$1,MONTH(NovSun1+8)=11),NovSun1+8, "")</f>
        <v>41582</v>
      </c>
      <c r="AC14" s="70">
        <f>IF(AND(YEAR(NovSun1+9)=$A$1,MONTH(NovSun1+9)=11),NovSun1+9, "")</f>
        <v>41583</v>
      </c>
      <c r="AD14" s="70">
        <f>IF(AND(YEAR(NovSun1+10)=$A$1,MONTH(NovSun1+10)=11),NovSun1+10, "")</f>
        <v>41584</v>
      </c>
      <c r="AE14" s="70">
        <f>IF(AND(YEAR(NovSun1+11)=$A$1,MONTH(NovSun1+11)=11),NovSun1+11, "")</f>
        <v>41585</v>
      </c>
      <c r="AF14" s="70">
        <f>IF(AND(YEAR(NovSun1+12)=$A$1,MONTH(NovSun1+12)=11),NovSun1+12, "")</f>
        <v>41586</v>
      </c>
      <c r="AG14" s="61">
        <f>IF(AND(YEAR(NovSun1+13)=$A$1,MONTH(NovSun1+13)=11),NovSun1+13, "")</f>
        <v>41587</v>
      </c>
    </row>
    <row r="15" spans="1:41" ht="15.95" customHeight="1" x14ac:dyDescent="0.2">
      <c r="C15" s="61">
        <f>IF(AND(YEAR(FebSun1+14)=$A$1,MONTH(FebSun1+14)=2),FebSun1+14, "")</f>
        <v>41315</v>
      </c>
      <c r="D15" s="61">
        <f>IF(AND(YEAR(FebSun1+15)=$A$1,MONTH(FebSun1+15)=2),FebSun1+15, "")</f>
        <v>41316</v>
      </c>
      <c r="E15" s="61">
        <f>IF(AND(YEAR(FebSun1+16)=$A$1,MONTH(FebSun1+16)=2),FebSun1+16, "")</f>
        <v>41317</v>
      </c>
      <c r="F15" s="61">
        <f>IF(AND(YEAR(FebSun1+17)=$A$1,MONTH(FebSun1+17)=2),FebSun1+17, "")</f>
        <v>41318</v>
      </c>
      <c r="G15" s="61">
        <f>IF(AND(YEAR(FebSun1+18)=$A$1,MONTH(FebSun1+18)=2),FebSun1+18, "")</f>
        <v>41319</v>
      </c>
      <c r="H15" s="61">
        <f>IF(AND(YEAR(FebSun1+19)=$A$1,MONTH(FebSun1+19)=2),FebSun1+19, "")</f>
        <v>41320</v>
      </c>
      <c r="I15" s="61">
        <f>IF(AND(YEAR(FebSun1+20)=$A$1,MONTH(FebSun1+20)=2),FebSun1+20, "")</f>
        <v>41321</v>
      </c>
      <c r="K15" s="61">
        <f>IF(AND(YEAR(MaySun1+14)=$A$1,MONTH(MaySun1+14)=5),MaySun1+14, "")</f>
        <v>41406</v>
      </c>
      <c r="L15" s="61">
        <f>IF(AND(YEAR(MaySun1+15)=$A$1,MONTH(MaySun1+15)=5),MaySun1+15, "")</f>
        <v>41407</v>
      </c>
      <c r="M15" s="61">
        <f>IF(AND(YEAR(MaySun1+16)=$A$1,MONTH(MaySun1+16)=5),MaySun1+16, "")</f>
        <v>41408</v>
      </c>
      <c r="N15" s="61">
        <f>IF(AND(YEAR(MaySun1+17)=$A$1,MONTH(MaySun1+17)=5),MaySun1+17, "")</f>
        <v>41409</v>
      </c>
      <c r="O15" s="61">
        <f>IF(AND(YEAR(MaySun1+18)=$A$1,MONTH(MaySun1+18)=5),MaySun1+18, "")</f>
        <v>41410</v>
      </c>
      <c r="P15" s="61">
        <f>IF(AND(YEAR(MaySun1+19)=$A$1,MONTH(MaySun1+19)=5),MaySun1+19, "")</f>
        <v>41411</v>
      </c>
      <c r="Q15" s="61">
        <f>IF(AND(YEAR(MaySun1+20)=$A$1,MONTH(MaySun1+20)=5),MaySun1+20, "")</f>
        <v>41412</v>
      </c>
      <c r="S15" s="61">
        <f>IF(AND(YEAR(AugSun1+14)=$A$1,MONTH(AugSun1+14)=8),AugSun1+14, "")</f>
        <v>41497</v>
      </c>
      <c r="T15" s="61">
        <f>IF(AND(YEAR(AugSun1+15)=$A$1,MONTH(AugSun1+15)=8),AugSun1+15, "")</f>
        <v>41498</v>
      </c>
      <c r="U15" s="61">
        <f>IF(AND(YEAR(AugSun1+16)=$A$1,MONTH(AugSun1+16)=8),AugSun1+16, "")</f>
        <v>41499</v>
      </c>
      <c r="V15" s="61">
        <f>IF(AND(YEAR(AugSun1+17)=$A$1,MONTH(AugSun1+17)=8),AugSun1+17, "")</f>
        <v>41500</v>
      </c>
      <c r="W15" s="61">
        <f>IF(AND(YEAR(AugSun1+18)=$A$1,MONTH(AugSun1+18)=8),AugSun1+18, "")</f>
        <v>41501</v>
      </c>
      <c r="X15" s="61">
        <f>IF(AND(YEAR(AugSun1+19)=$A$1,MONTH(AugSun1+19)=8),AugSun1+19, "")</f>
        <v>41502</v>
      </c>
      <c r="Y15" s="61">
        <f>IF(AND(YEAR(AugSun1+20)=$A$1,MONTH(AugSun1+20)=8),AugSun1+20, "")</f>
        <v>41503</v>
      </c>
      <c r="AA15" s="61">
        <f>IF(AND(YEAR(NovSun1+14)=$A$1,MONTH(NovSun1+14)=11),NovSun1+14, "")</f>
        <v>41588</v>
      </c>
      <c r="AB15" s="61">
        <f>IF(AND(YEAR(NovSun1+15)=$A$1,MONTH(NovSun1+15)=11),NovSun1+15, "")</f>
        <v>41589</v>
      </c>
      <c r="AC15" s="61">
        <f>IF(AND(YEAR(NovSun1+16)=$A$1,MONTH(NovSun1+16)=11),NovSun1+16, "")</f>
        <v>41590</v>
      </c>
      <c r="AD15" s="61">
        <f>IF(AND(YEAR(NovSun1+17)=$A$1,MONTH(NovSun1+17)=11),NovSun1+17, "")</f>
        <v>41591</v>
      </c>
      <c r="AE15" s="61">
        <f>IF(AND(YEAR(NovSun1+18)=$A$1,MONTH(NovSun1+18)=11),NovSun1+18, "")</f>
        <v>41592</v>
      </c>
      <c r="AF15" s="61">
        <f>IF(AND(YEAR(NovSun1+19)=$A$1,MONTH(NovSun1+19)=11),NovSun1+19, "")</f>
        <v>41593</v>
      </c>
      <c r="AG15" s="61">
        <f>IF(AND(YEAR(NovSun1+20)=$A$1,MONTH(NovSun1+20)=11),NovSun1+20, "")</f>
        <v>41594</v>
      </c>
    </row>
    <row r="16" spans="1:41" ht="15.95" customHeight="1" x14ac:dyDescent="0.2">
      <c r="C16" s="61">
        <f>IF(AND(YEAR(FebSun1+21)=$A$1,MONTH(FebSun1+21)=2),FebSun1+21, "")</f>
        <v>41322</v>
      </c>
      <c r="D16" s="61">
        <f>IF(AND(YEAR(FebSun1+22)=$A$1,MONTH(FebSun1+22)=2),FebSun1+22, "")</f>
        <v>41323</v>
      </c>
      <c r="E16" s="61">
        <f>IF(AND(YEAR(FebSun1+23)=$A$1,MONTH(FebSun1+23)=2),FebSun1+23, "")</f>
        <v>41324</v>
      </c>
      <c r="F16" s="61">
        <f>IF(AND(YEAR(FebSun1+24)=$A$1,MONTH(FebSun1+24)=2),FebSun1+24, "")</f>
        <v>41325</v>
      </c>
      <c r="G16" s="61">
        <f>IF(AND(YEAR(FebSun1+25)=$A$1,MONTH(FebSun1+25)=2),FebSun1+25, "")</f>
        <v>41326</v>
      </c>
      <c r="H16" s="61">
        <f>IF(AND(YEAR(FebSun1+26)=$A$1,MONTH(FebSun1+26)=2),FebSun1+26, "")</f>
        <v>41327</v>
      </c>
      <c r="I16" s="61">
        <f>IF(AND(YEAR(FebSun1+27)=$A$1,MONTH(FebSun1+27)=2),FebSun1+27, "")</f>
        <v>41328</v>
      </c>
      <c r="K16" s="61">
        <f>IF(AND(YEAR(MaySun1+21)=$A$1,MONTH(MaySun1+21)=5),MaySun1+21, "")</f>
        <v>41413</v>
      </c>
      <c r="L16" s="61">
        <f>IF(AND(YEAR(MaySun1+22)=$A$1,MONTH(MaySun1+22)=5),MaySun1+22, "")</f>
        <v>41414</v>
      </c>
      <c r="M16" s="61">
        <f>IF(AND(YEAR(MaySun1+23)=$A$1,MONTH(MaySun1+23)=5),MaySun1+23, "")</f>
        <v>41415</v>
      </c>
      <c r="N16" s="61">
        <f>IF(AND(YEAR(MaySun1+24)=$A$1,MONTH(MaySun1+24)=5),MaySun1+24, "")</f>
        <v>41416</v>
      </c>
      <c r="O16" s="61">
        <f>IF(AND(YEAR(MaySun1+25)=$A$1,MONTH(MaySun1+25)=5),MaySun1+25, "")</f>
        <v>41417</v>
      </c>
      <c r="P16" s="61">
        <f>IF(AND(YEAR(MaySun1+26)=$A$1,MONTH(MaySun1+26)=5),MaySun1+26, "")</f>
        <v>41418</v>
      </c>
      <c r="Q16" s="61">
        <f>IF(AND(YEAR(MaySun1+27)=$A$1,MONTH(MaySun1+27)=5),MaySun1+27, "")</f>
        <v>41419</v>
      </c>
      <c r="S16" s="61">
        <f>IF(AND(YEAR(AugSun1+21)=$A$1,MONTH(AugSun1+21)=8),AugSun1+21, "")</f>
        <v>41504</v>
      </c>
      <c r="T16" s="61">
        <f>IF(AND(YEAR(AugSun1+22)=$A$1,MONTH(AugSun1+22)=8),AugSun1+22, "")</f>
        <v>41505</v>
      </c>
      <c r="U16" s="61">
        <f>IF(AND(YEAR(AugSun1+23)=$A$1,MONTH(AugSun1+23)=8),AugSun1+23, "")</f>
        <v>41506</v>
      </c>
      <c r="V16" s="61">
        <f>IF(AND(YEAR(AugSun1+24)=$A$1,MONTH(AugSun1+24)=8),AugSun1+24, "")</f>
        <v>41507</v>
      </c>
      <c r="W16" s="61">
        <f>IF(AND(YEAR(AugSun1+25)=$A$1,MONTH(AugSun1+25)=8),AugSun1+25, "")</f>
        <v>41508</v>
      </c>
      <c r="X16" s="61">
        <f>IF(AND(YEAR(AugSun1+26)=$A$1,MONTH(AugSun1+26)=8),AugSun1+26, "")</f>
        <v>41509</v>
      </c>
      <c r="Y16" s="61">
        <f>IF(AND(YEAR(AugSun1+27)=$A$1,MONTH(AugSun1+27)=8),AugSun1+27, "")</f>
        <v>41510</v>
      </c>
      <c r="AA16" s="71">
        <f>IF(AND(YEAR(NovSun1+21)=$A$1,MONTH(NovSun1+21)=11),NovSun1+21, "")</f>
        <v>41595</v>
      </c>
      <c r="AB16" s="61">
        <f>IF(AND(YEAR(NovSun1+22)=$A$1,MONTH(NovSun1+22)=11),NovSun1+22, "")</f>
        <v>41596</v>
      </c>
      <c r="AC16" s="61">
        <f>IF(AND(YEAR(NovSun1+23)=$A$1,MONTH(NovSun1+23)=11),NovSun1+23, "")</f>
        <v>41597</v>
      </c>
      <c r="AD16" s="61">
        <f>IF(AND(YEAR(NovSun1+24)=$A$1,MONTH(NovSun1+24)=11),NovSun1+24, "")</f>
        <v>41598</v>
      </c>
      <c r="AE16" s="68">
        <f>IF(AND(YEAR(NovSun1+25)=$A$1,MONTH(NovSun1+25)=11),NovSun1+25, "")</f>
        <v>41599</v>
      </c>
      <c r="AF16" s="70">
        <f>IF(AND(YEAR(NovSun1+26)=$A$1,MONTH(NovSun1+26)=11),NovSun1+26, "")</f>
        <v>41600</v>
      </c>
      <c r="AG16" s="61">
        <f>IF(AND(YEAR(NovSun1+27)=$A$1,MONTH(NovSun1+27)=11),NovSun1+27, "")</f>
        <v>41601</v>
      </c>
    </row>
    <row r="17" spans="2:37" ht="15.95" customHeight="1" x14ac:dyDescent="0.2">
      <c r="C17" s="61">
        <f>IF(AND(YEAR(FebSun1+28)=$A$1,MONTH(FebSun1+28)=2),FebSun1+28, "")</f>
        <v>41329</v>
      </c>
      <c r="D17" s="61">
        <f>IF(AND(YEAR(FebSun1+29)=$A$1,MONTH(FebSun1+29)=2),FebSun1+29, "")</f>
        <v>41330</v>
      </c>
      <c r="E17" s="61">
        <f>IF(AND(YEAR(FebSun1+30)=$A$1,MONTH(FebSun1+30)=2),FebSun1+30, "")</f>
        <v>41331</v>
      </c>
      <c r="F17" s="61">
        <f>IF(AND(YEAR(FebSun1+31)=$A$1,MONTH(FebSun1+31)=2),FebSun1+31, "")</f>
        <v>41332</v>
      </c>
      <c r="G17" s="61">
        <f>IF(AND(YEAR(FebSun1+32)=$A$1,MONTH(FebSun1+32)=2),FebSun1+32, "")</f>
        <v>41333</v>
      </c>
      <c r="H17" s="61" t="str">
        <f>IF(AND(YEAR(FebSun1+33)=$A$1,MONTH(FebSun1+33)=2),FebSun1+33, "")</f>
        <v/>
      </c>
      <c r="I17" s="61" t="str">
        <f>IF(AND(YEAR(FebSun1+34)=$A$1,MONTH(FebSun1+34)=2),FebSun1+34, "")</f>
        <v/>
      </c>
      <c r="K17" s="61">
        <f>IF(AND(YEAR(MaySun1+28)=$A$1,MONTH(MaySun1+28)=5),MaySun1+28, "")</f>
        <v>41420</v>
      </c>
      <c r="L17" s="68">
        <f>IF(AND(YEAR(MaySun1+29)=$A$1,MONTH(MaySun1+29)=5),MaySun1+29, "")</f>
        <v>41421</v>
      </c>
      <c r="M17" s="61">
        <f>IF(AND(YEAR(MaySun1+30)=$A$1,MONTH(MaySun1+30)=5),MaySun1+30, "")</f>
        <v>41422</v>
      </c>
      <c r="N17" s="61">
        <f>IF(AND(YEAR(MaySun1+31)=$A$1,MONTH(MaySun1+31)=5),MaySun1+31, "")</f>
        <v>41423</v>
      </c>
      <c r="O17" s="61">
        <f>IF(AND(YEAR(MaySun1+32)=$A$1,MONTH(MaySun1+32)=5),MaySun1+32, "")</f>
        <v>41424</v>
      </c>
      <c r="P17" s="61">
        <f>IF(AND(YEAR(MaySun1+33)=$A$1,MONTH(MaySun1+33)=5),MaySun1+33, "")</f>
        <v>41425</v>
      </c>
      <c r="Q17" s="61" t="str">
        <f>IF(AND(YEAR(MaySun1+34)=$A$1,MONTH(MaySun1+34)=5),MaySun1+34, "")</f>
        <v/>
      </c>
      <c r="S17" s="61">
        <f>IF(AND(YEAR(AugSun1+28)=$A$1,MONTH(AugSun1+28)=8),AugSun1+28, "")</f>
        <v>41511</v>
      </c>
      <c r="T17" s="61">
        <f>IF(AND(YEAR(AugSun1+29)=$A$1,MONTH(AugSun1+29)=8),AugSun1+29, "")</f>
        <v>41512</v>
      </c>
      <c r="U17" s="61">
        <f>IF(AND(YEAR(AugSun1+30)=$A$1,MONTH(AugSun1+30)=8),AugSun1+30, "")</f>
        <v>41513</v>
      </c>
      <c r="V17" s="61">
        <f>IF(AND(YEAR(AugSun1+31)=$A$1,MONTH(AugSun1+31)=8),AugSun1+31, "")</f>
        <v>41514</v>
      </c>
      <c r="W17" s="61">
        <f>IF(AND(YEAR(AugSun1+32)=$A$1,MONTH(AugSun1+32)=8),AugSun1+32, "")</f>
        <v>41515</v>
      </c>
      <c r="X17" s="61">
        <f>IF(AND(YEAR(AugSun1+33)=$A$1,MONTH(AugSun1+33)=8),AugSun1+33, "")</f>
        <v>41516</v>
      </c>
      <c r="Y17" s="61">
        <f>IF(AND(YEAR(AugSun1+34)=$A$1,MONTH(AugSun1+34)=8),AugSun1+34, "")</f>
        <v>41517</v>
      </c>
      <c r="AA17" s="61">
        <f>IF(AND(YEAR(NovSun1+28)=$A$1,MONTH(NovSun1+28)=11),NovSun1+28, "")</f>
        <v>41602</v>
      </c>
      <c r="AB17" s="61">
        <f>IF(AND(YEAR(NovSun1+29)=$A$1,MONTH(NovSun1+29)=11),NovSun1+29, "")</f>
        <v>41603</v>
      </c>
      <c r="AC17" s="61">
        <f>IF(AND(YEAR(NovSun1+30)=$A$1,MONTH(NovSun1+30)=11),NovSun1+30, "")</f>
        <v>41604</v>
      </c>
      <c r="AD17" s="61">
        <f>IF(AND(YEAR(NovSun1+31)=$A$1,MONTH(NovSun1+31)=11),NovSun1+31, "")</f>
        <v>41605</v>
      </c>
      <c r="AE17" s="61">
        <f>IF(AND(YEAR(NovSun1+32)=$A$1,MONTH(NovSun1+32)=11),NovSun1+32, "")</f>
        <v>41606</v>
      </c>
      <c r="AF17" s="61">
        <f>IF(AND(YEAR(NovSun1+33)=$A$1,MONTH(NovSun1+33)=11),NovSun1+33, "")</f>
        <v>41607</v>
      </c>
      <c r="AG17" s="61">
        <f>IF(AND(YEAR(NovSun1+34)=$A$1,MONTH(NovSun1+34)=11),NovSun1+34, "")</f>
        <v>41608</v>
      </c>
    </row>
    <row r="18" spans="2:37" ht="15.95" customHeight="1" x14ac:dyDescent="0.2">
      <c r="C18" s="62" t="str">
        <f>IF(AND(YEAR(FebSun1+35)=$A$1,MONTH(FebSun1+35)=2),FebSun1+35, "")</f>
        <v/>
      </c>
      <c r="D18" s="62" t="str">
        <f>IF(AND(YEAR(FebSun1+36)=$A$1,MONTH(FebSun1+36)=2),FebSun1+36, "")</f>
        <v/>
      </c>
      <c r="E18" s="62" t="str">
        <f>IF(AND(YEAR(FebSun1+37)=$A$1,MONTH(FebSun1+37)=2),FebSun1+37, "")</f>
        <v/>
      </c>
      <c r="F18" s="62" t="str">
        <f>IF(AND(YEAR(FebSun1+38)=$A$1,MONTH(FebSun1+38)=2),FebSun1+38, "")</f>
        <v/>
      </c>
      <c r="G18" s="62" t="str">
        <f>IF(AND(YEAR(FebSun1+39)=$A$1,MONTH(FebSun1+39)=2),FebSun1+39, "")</f>
        <v/>
      </c>
      <c r="H18" s="62" t="str">
        <f>IF(AND(YEAR(FebSun1+40)=$A$1,MONTH(FebSun1+40)=2),FebSun1+40, "")</f>
        <v/>
      </c>
      <c r="I18" s="62" t="str">
        <f>IF(AND(YEAR(FebSun1+41)=$A$1,MONTH(FebSun1+41)=2),FebSun1+41, "")</f>
        <v/>
      </c>
      <c r="K18" s="62" t="str">
        <f>IF(AND(YEAR(MaySun1+35)=$A$1,MONTH(MaySun1+35)=5),MaySun1+35, "")</f>
        <v/>
      </c>
      <c r="L18" s="62" t="str">
        <f>IF(AND(YEAR(MaySun1+36)=$A$1,MONTH(MaySun1+36)=5),MaySun1+36, "")</f>
        <v/>
      </c>
      <c r="M18" s="62" t="str">
        <f>IF(AND(YEAR(MaySun1+37)=$A$1,MONTH(MaySun1+37)=5),MaySun1+37, "")</f>
        <v/>
      </c>
      <c r="N18" s="62" t="str">
        <f>IF(AND(YEAR(MaySun1+38)=$A$1,MONTH(MaySun1+38)=5),MaySun1+38, "")</f>
        <v/>
      </c>
      <c r="O18" s="62" t="str">
        <f>IF(AND(YEAR(MaySun1+39)=$A$1,MONTH(MaySun1+39)=5),MaySun1+39, "")</f>
        <v/>
      </c>
      <c r="P18" s="62" t="str">
        <f>IF(AND(YEAR(MaySun1+40)=$A$1,MONTH(MaySun1+40)=5),MaySun1+40, "")</f>
        <v/>
      </c>
      <c r="Q18" s="62" t="str">
        <f>IF(AND(YEAR(MaySun1+41)=$A$1,MONTH(MaySun1+41)=5),MaySun1+41, "")</f>
        <v/>
      </c>
      <c r="S18" s="62" t="str">
        <f>IF(AND(YEAR(AugSun1+35)=$A$1,MONTH(AugSun1+35)=8),AugSun1+35, "")</f>
        <v/>
      </c>
      <c r="T18" s="62" t="str">
        <f>IF(AND(YEAR(AugSun1+36)=$A$1,MONTH(AugSun1+36)=8),AugSun1+36, "")</f>
        <v/>
      </c>
      <c r="U18" s="62" t="str">
        <f>IF(AND(YEAR(AugSun1+37)=$A$1,MONTH(AugSun1+37)=8),AugSun1+37, "")</f>
        <v/>
      </c>
      <c r="V18" s="62" t="str">
        <f>IF(AND(YEAR(AugSun1+38)=$A$1,MONTH(AugSun1+38)=8),AugSun1+38, "")</f>
        <v/>
      </c>
      <c r="W18" s="62" t="str">
        <f>IF(AND(YEAR(AugSun1+39)=$A$1,MONTH(AugSun1+39)=8),AugSun1+39, "")</f>
        <v/>
      </c>
      <c r="X18" s="62" t="str">
        <f>IF(AND(YEAR(AugSun1+40)=$A$1,MONTH(AugSun1+40)=8),AugSun1+40, "")</f>
        <v/>
      </c>
      <c r="Y18" s="62" t="str">
        <f>IF(AND(YEAR(AugSun1+41)=$A$1,MONTH(AugSun1+41)=8),AugSun1+41, "")</f>
        <v/>
      </c>
      <c r="AA18" s="62" t="str">
        <f>IF(AND(YEAR(NovSun1+35)=$A$1,MONTH(NovSun1+35)=11),NovSun1+35, "")</f>
        <v/>
      </c>
      <c r="AB18" s="62" t="str">
        <f>IF(AND(YEAR(NovSun1+36)=$A$1,MONTH(NovSun1+36)=11),NovSun1+36, "")</f>
        <v/>
      </c>
      <c r="AC18" s="62" t="str">
        <f>IF(AND(YEAR(NovSun1+37)=$A$1,MONTH(NovSun1+37)=11),NovSun1+37, "")</f>
        <v/>
      </c>
      <c r="AD18" s="62" t="str">
        <f>IF(AND(YEAR(NovSun1+38)=$A$1,MONTH(NovSun1+38)=11),NovSun1+38, "")</f>
        <v/>
      </c>
      <c r="AE18" s="62" t="str">
        <f>IF(AND(YEAR(NovSun1+39)=$A$1,MONTH(NovSun1+39)=11),NovSun1+39, "")</f>
        <v/>
      </c>
      <c r="AF18" s="62" t="str">
        <f>IF(AND(YEAR(NovSun1+40)=$A$1,MONTH(NovSun1+40)=11),NovSun1+40, "")</f>
        <v/>
      </c>
      <c r="AG18" s="62" t="str">
        <f>IF(AND(YEAR(NovSun1+41)=$A$1,MONTH(NovSun1+41)=11),NovSun1+41, "")</f>
        <v/>
      </c>
    </row>
    <row r="19" spans="2:37" ht="15.95" customHeight="1" x14ac:dyDescent="0.2">
      <c r="B19" s="63"/>
      <c r="C19" s="64"/>
      <c r="D19" s="64"/>
      <c r="E19" s="64"/>
      <c r="F19" s="64"/>
      <c r="G19" s="64"/>
      <c r="H19" s="64"/>
      <c r="I19" s="64"/>
      <c r="J19" s="63"/>
      <c r="K19" s="64"/>
      <c r="L19" s="64"/>
      <c r="M19" s="64"/>
      <c r="N19" s="64"/>
      <c r="O19" s="64"/>
      <c r="P19" s="64"/>
      <c r="Q19" s="64"/>
      <c r="R19" s="63"/>
      <c r="S19" s="64"/>
      <c r="T19" s="64"/>
      <c r="U19" s="64"/>
      <c r="V19" s="64"/>
      <c r="W19" s="64"/>
      <c r="X19" s="64"/>
      <c r="Y19" s="64"/>
      <c r="Z19" s="63"/>
      <c r="AA19" s="64"/>
      <c r="AB19" s="64"/>
      <c r="AC19" s="64"/>
      <c r="AD19" s="64"/>
      <c r="AE19" s="64"/>
      <c r="AF19" s="64"/>
      <c r="AG19" s="64"/>
      <c r="AH19" s="63"/>
      <c r="AI19" s="57" t="s">
        <v>120</v>
      </c>
      <c r="AK19" s="57">
        <v>23</v>
      </c>
    </row>
    <row r="20" spans="2:37" ht="15.95" customHeight="1" x14ac:dyDescent="0.2">
      <c r="C20" s="156" t="s">
        <v>84</v>
      </c>
      <c r="D20" s="157"/>
      <c r="E20" s="157"/>
      <c r="F20" s="157"/>
      <c r="G20" s="157"/>
      <c r="H20" s="157"/>
      <c r="I20" s="158"/>
      <c r="K20" s="156" t="s">
        <v>85</v>
      </c>
      <c r="L20" s="157"/>
      <c r="M20" s="157"/>
      <c r="N20" s="157"/>
      <c r="O20" s="157"/>
      <c r="P20" s="157"/>
      <c r="Q20" s="158"/>
      <c r="S20" s="156" t="s">
        <v>86</v>
      </c>
      <c r="T20" s="157"/>
      <c r="U20" s="157"/>
      <c r="V20" s="157"/>
      <c r="W20" s="157"/>
      <c r="X20" s="157"/>
      <c r="Y20" s="158"/>
      <c r="AA20" s="156" t="s">
        <v>87</v>
      </c>
      <c r="AB20" s="157"/>
      <c r="AC20" s="157"/>
      <c r="AD20" s="157"/>
      <c r="AE20" s="157"/>
      <c r="AF20" s="157"/>
      <c r="AG20" s="158"/>
      <c r="AI20" s="57" t="s">
        <v>119</v>
      </c>
      <c r="AK20" s="57">
        <v>6</v>
      </c>
    </row>
    <row r="21" spans="2:37" ht="15.95" customHeight="1" x14ac:dyDescent="0.2">
      <c r="B21" s="59"/>
      <c r="C21" s="60" t="s">
        <v>75</v>
      </c>
      <c r="D21" s="60" t="s">
        <v>76</v>
      </c>
      <c r="E21" s="60" t="s">
        <v>77</v>
      </c>
      <c r="F21" s="60" t="s">
        <v>78</v>
      </c>
      <c r="G21" s="60" t="s">
        <v>77</v>
      </c>
      <c r="H21" s="60" t="s">
        <v>79</v>
      </c>
      <c r="I21" s="60" t="s">
        <v>75</v>
      </c>
      <c r="K21" s="60" t="s">
        <v>75</v>
      </c>
      <c r="L21" s="60" t="s">
        <v>76</v>
      </c>
      <c r="M21" s="60" t="s">
        <v>77</v>
      </c>
      <c r="N21" s="60" t="s">
        <v>78</v>
      </c>
      <c r="O21" s="60" t="s">
        <v>77</v>
      </c>
      <c r="P21" s="60" t="s">
        <v>79</v>
      </c>
      <c r="Q21" s="60" t="s">
        <v>75</v>
      </c>
      <c r="S21" s="60" t="s">
        <v>75</v>
      </c>
      <c r="T21" s="60" t="s">
        <v>76</v>
      </c>
      <c r="U21" s="60" t="s">
        <v>77</v>
      </c>
      <c r="V21" s="60" t="s">
        <v>78</v>
      </c>
      <c r="W21" s="60" t="s">
        <v>77</v>
      </c>
      <c r="X21" s="60" t="s">
        <v>79</v>
      </c>
      <c r="Y21" s="60" t="s">
        <v>75</v>
      </c>
      <c r="AA21" s="60" t="s">
        <v>75</v>
      </c>
      <c r="AB21" s="60" t="s">
        <v>76</v>
      </c>
      <c r="AC21" s="60" t="s">
        <v>77</v>
      </c>
      <c r="AD21" s="60" t="s">
        <v>78</v>
      </c>
      <c r="AE21" s="60" t="s">
        <v>77</v>
      </c>
      <c r="AF21" s="60" t="s">
        <v>79</v>
      </c>
      <c r="AG21" s="60" t="s">
        <v>75</v>
      </c>
      <c r="AI21" s="57" t="s">
        <v>118</v>
      </c>
      <c r="AK21" s="57">
        <v>15</v>
      </c>
    </row>
    <row r="22" spans="2:37" ht="15.95" customHeight="1" x14ac:dyDescent="0.2">
      <c r="C22" s="61" t="str">
        <f>IF(AND(YEAR(MarSun1)=$A$1,MONTH(MarSun1)=3),MarSun1, "")</f>
        <v/>
      </c>
      <c r="D22" s="61" t="str">
        <f>IF(AND(YEAR(MarSun1+1)=$A$1,MONTH(MarSun1+1)=3),MarSun1+1, "")</f>
        <v/>
      </c>
      <c r="E22" s="61" t="str">
        <f>IF(AND(YEAR(MarSun1+2)=$A$1,MONTH(MarSun1+2)=3),MarSun1+2, "")</f>
        <v/>
      </c>
      <c r="F22" s="61" t="str">
        <f>IF(AND(YEAR(MarSun1+3)=$A$1,MONTH(MarSun1+3)=3),MarSun1+3, "")</f>
        <v/>
      </c>
      <c r="G22" s="61" t="str">
        <f>IF(AND(YEAR(MarSun1+4)=$A$1,MONTH(MarSun1+4)=3),MarSun1+4, "")</f>
        <v/>
      </c>
      <c r="H22" s="61">
        <f>IF(AND(YEAR(MarSun1+5)=$A$1,MONTH(MarSun1+5)=3),MarSun1+5, "")</f>
        <v>41334</v>
      </c>
      <c r="I22" s="61">
        <f>IF(AND(YEAR(MarSun1+6)=$A$1,MONTH(MarSun1+6)=3),MarSun1+6, "")</f>
        <v>41335</v>
      </c>
      <c r="K22" s="61" t="str">
        <f>IF(AND(YEAR(JunSun1)=$A$1,MONTH(JunSun1)=6),JunSun1, "")</f>
        <v/>
      </c>
      <c r="L22" s="61" t="str">
        <f>IF(AND(YEAR(JunSun1+1)=$A$1,MONTH(JunSun1+1)=6),JunSun1+1, "")</f>
        <v/>
      </c>
      <c r="M22" s="61" t="str">
        <f>IF(AND(YEAR(JunSun1+2)=$A$1,MONTH(JunSun1+2)=6),JunSun1+2, "")</f>
        <v/>
      </c>
      <c r="N22" s="61" t="str">
        <f>IF(AND(YEAR(JunSun1+3)=$A$1,MONTH(JunSun1+3)=6),JunSun1+3, "")</f>
        <v/>
      </c>
      <c r="O22" s="61" t="str">
        <f>IF(AND(YEAR(JunSun1+4)=$A$1,MONTH(JunSun1+4)=6),JunSun1+4, "")</f>
        <v/>
      </c>
      <c r="P22" s="61" t="str">
        <f>IF(AND(YEAR(JunSun1+5)=$A$1,MONTH(JunSun1+5)=6),JunSun1+5, "")</f>
        <v/>
      </c>
      <c r="Q22" s="61">
        <f>IF(AND(YEAR(JunSun1+6)=$A$1,MONTH(JunSun1+6)=6),JunSun1+6, "")</f>
        <v>41426</v>
      </c>
      <c r="S22" s="61">
        <f>IF(AND(YEAR(SepSun1)=$A$1,MONTH(SepSun1)=9),SepSun1, "")</f>
        <v>41518</v>
      </c>
      <c r="T22" s="68">
        <f>IF(AND(YEAR(SepSun1+1)=$A$1,MONTH(SepSun1+1)=9),SepSun1+1, "")</f>
        <v>41519</v>
      </c>
      <c r="U22" s="70">
        <f>IF(AND(YEAR(SepSun1+2)=$A$1,MONTH(SepSun1+2)=9),SepSun1+2, "")</f>
        <v>41520</v>
      </c>
      <c r="V22" s="70">
        <f>IF(AND(YEAR(SepSun1+3)=$A$1,MONTH(SepSun1+3)=9),SepSun1+3, "")</f>
        <v>41521</v>
      </c>
      <c r="W22" s="70">
        <f>IF(AND(YEAR(SepSun1+4)=$A$1,MONTH(SepSun1+4)=9),SepSun1+4, "")</f>
        <v>41522</v>
      </c>
      <c r="X22" s="70">
        <f>IF(AND(YEAR(SepSun1+5)=$A$1,MONTH(SepSun1+5)=9),SepSun1+5, "")</f>
        <v>41523</v>
      </c>
      <c r="Y22" s="61">
        <f>IF(AND(YEAR(SepSun1+6)=$A$1,MONTH(SepSun1+6)=9),SepSun1+6, "")</f>
        <v>41524</v>
      </c>
      <c r="AA22" s="61">
        <f>IF(AND(YEAR(DecSun1)=$A$1,MONTH(DecSun1)=12),DecSun1, "")</f>
        <v>41609</v>
      </c>
      <c r="AB22" s="70">
        <f>IF(AND(YEAR(DecSun1+1)=$A$1,MONTH(DecSun1+1)=12),DecSun1+1, "")</f>
        <v>41610</v>
      </c>
      <c r="AC22" s="67">
        <f>IF(AND(YEAR(DecSun1+2)=$A$1,MONTH(DecSun1+2)=12),DecSun1+2, "")</f>
        <v>41611</v>
      </c>
      <c r="AD22" s="61">
        <f>IF(AND(YEAR(DecSun1+3)=$A$1,MONTH(DecSun1+3)=12),DecSun1+3, "")</f>
        <v>41612</v>
      </c>
      <c r="AE22" s="61">
        <f>IF(AND(YEAR(DecSun1+4)=$A$1,MONTH(DecSun1+4)=12),DecSun1+4, "")</f>
        <v>41613</v>
      </c>
      <c r="AF22" s="61">
        <f>IF(AND(YEAR(DecSun1+5)=$A$1,MONTH(DecSun1+5)=12),DecSun1+5, "")</f>
        <v>41614</v>
      </c>
      <c r="AG22" s="61">
        <f>IF(AND(YEAR(DecSun1+6)=$A$1,MONTH(DecSun1+6)=12),DecSun1+6, "")</f>
        <v>41615</v>
      </c>
      <c r="AI22" s="57" t="s">
        <v>117</v>
      </c>
    </row>
    <row r="23" spans="2:37" ht="15.95" customHeight="1" x14ac:dyDescent="0.2">
      <c r="C23" s="61">
        <f>IF(AND(YEAR(MarSun1+7)=$A$1,MONTH(MarSun1+7)=3),MarSun1+7, "")</f>
        <v>41336</v>
      </c>
      <c r="D23" s="61">
        <f>IF(AND(YEAR(MarSun1+8)=$A$1,MONTH(MarSun1+8)=3),MarSun1+8, "")</f>
        <v>41337</v>
      </c>
      <c r="E23" s="61">
        <f>IF(AND(YEAR(MarSun1+9)=$A$1,MONTH(MarSun1+9)=3),MarSun1+9, "")</f>
        <v>41338</v>
      </c>
      <c r="F23" s="61">
        <f>IF(AND(YEAR(MarSun1+10)=$A$1,MONTH(MarSun1+10)=3),MarSun1+10, "")</f>
        <v>41339</v>
      </c>
      <c r="G23" s="61">
        <f>IF(AND(YEAR(MarSun1+11)=$A$1,MONTH(MarSun1+11)=3),MarSun1+11, "")</f>
        <v>41340</v>
      </c>
      <c r="H23" s="61">
        <f>IF(AND(YEAR(MarSun1+12)=$A$1,MONTH(MarSun1+12)=3),MarSun1+12, "")</f>
        <v>41341</v>
      </c>
      <c r="I23" s="61">
        <f>IF(AND(YEAR(MarSun1+13)=$A$1,MONTH(MarSun1+13)=3),MarSun1+13, "")</f>
        <v>41342</v>
      </c>
      <c r="K23" s="61">
        <f>IF(AND(YEAR(JunSun1+7)=$A$1,MONTH(JunSun1+7)=6),JunSun1+7, "")</f>
        <v>41427</v>
      </c>
      <c r="L23" s="61">
        <f>IF(AND(YEAR(JunSun1+8)=$A$1,MONTH(JunSun1+8)=6),JunSun1+8, "")</f>
        <v>41428</v>
      </c>
      <c r="M23" s="61">
        <f>IF(AND(YEAR(JunSun1+9)=$A$1,MONTH(JunSun1+9)=6),JunSun1+9, "")</f>
        <v>41429</v>
      </c>
      <c r="N23" s="61">
        <f>IF(AND(YEAR(JunSun1+10)=$A$1,MONTH(JunSun1+10)=6),JunSun1+10, "")</f>
        <v>41430</v>
      </c>
      <c r="O23" s="61">
        <f>IF(AND(YEAR(JunSun1+11)=$A$1,MONTH(JunSun1+11)=6),JunSun1+11, "")</f>
        <v>41431</v>
      </c>
      <c r="P23" s="61">
        <f>IF(AND(YEAR(JunSun1+12)=$A$1,MONTH(JunSun1+12)=6),JunSun1+12, "")</f>
        <v>41432</v>
      </c>
      <c r="Q23" s="61">
        <f>IF(AND(YEAR(JunSun1+13)=$A$1,MONTH(JunSun1+13)=6),JunSun1+13, "")</f>
        <v>41433</v>
      </c>
      <c r="S23" s="61">
        <f>IF(AND(YEAR(SepSun1+7)=$A$1,MONTH(SepSun1+7)=9),SepSun1+7, "")</f>
        <v>41525</v>
      </c>
      <c r="T23" s="70">
        <f>IF(AND(YEAR(SepSun1+8)=$A$1,MONTH(SepSun1+8)=9),SepSun1+8, "")</f>
        <v>41526</v>
      </c>
      <c r="U23" s="70">
        <f>IF(AND(YEAR(SepSun1+9)=$A$1,MONTH(SepSun1+9)=9),SepSun1+9, "")</f>
        <v>41527</v>
      </c>
      <c r="V23" s="70">
        <f>IF(AND(YEAR(SepSun1+10)=$A$1,MONTH(SepSun1+10)=9),SepSun1+10, "")</f>
        <v>41528</v>
      </c>
      <c r="W23" s="70">
        <f>IF(AND(YEAR(SepSun1+11)=$A$1,MONTH(SepSun1+11)=9),SepSun1+11, "")</f>
        <v>41529</v>
      </c>
      <c r="X23" s="70">
        <f>IF(AND(YEAR(SepSun1+12)=$A$1,MONTH(SepSun1+12)=9),SepSun1+12, "")</f>
        <v>41530</v>
      </c>
      <c r="Y23" s="61">
        <f>IF(AND(YEAR(SepSun1+13)=$A$1,MONTH(SepSun1+13)=9),SepSun1+13, "")</f>
        <v>41531</v>
      </c>
      <c r="AA23" s="61">
        <f>IF(AND(YEAR(DecSun1+7)=$A$1,MONTH(DecSun1+7)=12),DecSun1+7, "")</f>
        <v>41616</v>
      </c>
      <c r="AB23" s="66">
        <f>IF(AND(YEAR(DecSun1+8)=$A$1,MONTH(DecSun1+8)=12),DecSun1+8, "")</f>
        <v>41617</v>
      </c>
      <c r="AC23" s="61">
        <f>IF(AND(YEAR(DecSun1+9)=$A$1,MONTH(DecSun1+9)=12),DecSun1+9, "")</f>
        <v>41618</v>
      </c>
      <c r="AD23" s="61">
        <f>IF(AND(YEAR(DecSun1+10)=$A$1,MONTH(DecSun1+10)=12),DecSun1+10, "")</f>
        <v>41619</v>
      </c>
      <c r="AE23" s="61">
        <f>IF(AND(YEAR(DecSun1+11)=$A$1,MONTH(DecSun1+11)=12),DecSun1+11, "")</f>
        <v>41620</v>
      </c>
      <c r="AF23" s="61">
        <f>IF(AND(YEAR(DecSun1+12)=$A$1,MONTH(DecSun1+12)=12),DecSun1+12, "")</f>
        <v>41621</v>
      </c>
      <c r="AG23" s="61">
        <f>IF(AND(YEAR(DecSun1+13)=$A$1,MONTH(DecSun1+13)=12),DecSun1+13, "")</f>
        <v>41622</v>
      </c>
      <c r="AI23" s="57" t="s">
        <v>88</v>
      </c>
    </row>
    <row r="24" spans="2:37" ht="15.95" customHeight="1" x14ac:dyDescent="0.2">
      <c r="C24" s="61">
        <f>IF(AND(YEAR(MarSun1+14)=$A$1,MONTH(MarSun1+14)=3),MarSun1+14, "")</f>
        <v>41343</v>
      </c>
      <c r="D24" s="61">
        <f>IF(AND(YEAR(MarSun1+15)=$A$1,MONTH(MarSun1+15)=3),MarSun1+15, "")</f>
        <v>41344</v>
      </c>
      <c r="E24" s="61">
        <f>IF(AND(YEAR(MarSun1+16)=$A$1,MONTH(MarSun1+16)=3),MarSun1+16, "")</f>
        <v>41345</v>
      </c>
      <c r="F24" s="61">
        <f>IF(AND(YEAR(MarSun1+17)=$A$1,MONTH(MarSun1+17)=3),MarSun1+17, "")</f>
        <v>41346</v>
      </c>
      <c r="G24" s="61">
        <f>IF(AND(YEAR(MarSun1+18)=$A$1,MONTH(MarSun1+18)=3),MarSun1+18, "")</f>
        <v>41347</v>
      </c>
      <c r="H24" s="61">
        <f>IF(AND(YEAR(MarSun1+19)=$A$1,MONTH(MarSun1+19)=3),MarSun1+19, "")</f>
        <v>41348</v>
      </c>
      <c r="I24" s="61">
        <f>IF(AND(YEAR(MarSun1+20)=$A$1,MONTH(MarSun1+20)=3),MarSun1+20, "")</f>
        <v>41349</v>
      </c>
      <c r="K24" s="61">
        <f>IF(AND(YEAR(JunSun1+14)=$A$1,MONTH(JunSun1+14)=6),JunSun1+14, "")</f>
        <v>41434</v>
      </c>
      <c r="L24" s="68">
        <f>IF(AND(YEAR(JunSun1+15)=$A$1,MONTH(JunSun1+15)=6),JunSun1+15, "")</f>
        <v>41435</v>
      </c>
      <c r="M24" s="68">
        <f>IF(AND(YEAR(JunSun1+16)=$A$1,MONTH(JunSun1+16)=6),JunSun1+16, "")</f>
        <v>41436</v>
      </c>
      <c r="N24" s="68">
        <f>IF(AND(YEAR(JunSun1+17)=$A$1,MONTH(JunSun1+17)=6),JunSun1+17, "")</f>
        <v>41437</v>
      </c>
      <c r="O24" s="61">
        <f>IF(AND(YEAR(JunSun1+18)=$A$1,MONTH(JunSun1+18)=6),JunSun1+18, "")</f>
        <v>41438</v>
      </c>
      <c r="P24" s="61">
        <f>IF(AND(YEAR(JunSun1+19)=$A$1,MONTH(JunSun1+19)=6),JunSun1+19, "")</f>
        <v>41439</v>
      </c>
      <c r="Q24" s="61">
        <f>IF(AND(YEAR(JunSun1+20)=$A$1,MONTH(JunSun1+20)=6),JunSun1+20, "")</f>
        <v>41440</v>
      </c>
      <c r="S24" s="61">
        <f>IF(AND(YEAR(SepSun1+14)=$A$1,MONTH(SepSun1+14)=9),SepSun1+14, "")</f>
        <v>41532</v>
      </c>
      <c r="T24" s="70">
        <f>IF(AND(YEAR(SepSun1+15)=$A$1,MONTH(SepSun1+15)=9),SepSun1+15, "")</f>
        <v>41533</v>
      </c>
      <c r="U24" s="70">
        <f>IF(AND(YEAR(SepSun1+16)=$A$1,MONTH(SepSun1+16)=9),SepSun1+16, "")</f>
        <v>41534</v>
      </c>
      <c r="V24" s="70">
        <f>IF(AND(YEAR(SepSun1+17)=$A$1,MONTH(SepSun1+17)=9),SepSun1+17, "")</f>
        <v>41535</v>
      </c>
      <c r="W24" s="70">
        <f>IF(AND(YEAR(SepSun1+18)=$A$1,MONTH(SepSun1+18)=9),SepSun1+18, "")</f>
        <v>41536</v>
      </c>
      <c r="X24" s="70">
        <f>IF(AND(YEAR(SepSun1+19)=$A$1,MONTH(SepSun1+19)=9),SepSun1+19, "")</f>
        <v>41537</v>
      </c>
      <c r="Y24" s="61">
        <f>IF(AND(YEAR(SepSun1+20)=$A$1,MONTH(SepSun1+20)=9),SepSun1+20, "")</f>
        <v>41538</v>
      </c>
      <c r="AA24" s="61">
        <f>IF(AND(YEAR(DecSun1+14)=$A$1,MONTH(DecSun1+14)=12),DecSun1+14, "")</f>
        <v>41623</v>
      </c>
      <c r="AB24" s="61">
        <f>IF(AND(YEAR(DecSun1+15)=$A$1,MONTH(DecSun1+15)=12),DecSun1+15, "")</f>
        <v>41624</v>
      </c>
      <c r="AC24" s="61">
        <f>IF(AND(YEAR(DecSun1+16)=$A$1,MONTH(DecSun1+16)=12),DecSun1+16, "")</f>
        <v>41625</v>
      </c>
      <c r="AD24" s="61">
        <f>IF(AND(YEAR(DecSun1+17)=$A$1,MONTH(DecSun1+17)=12),DecSun1+17, "")</f>
        <v>41626</v>
      </c>
      <c r="AE24" s="61">
        <f>IF(AND(YEAR(DecSun1+18)=$A$1,MONTH(DecSun1+18)=12),DecSun1+18, "")</f>
        <v>41627</v>
      </c>
      <c r="AF24" s="61">
        <f>IF(AND(YEAR(DecSun1+19)=$A$1,MONTH(DecSun1+19)=12),DecSun1+19, "")</f>
        <v>41628</v>
      </c>
      <c r="AG24" s="61">
        <f>IF(AND(YEAR(DecSun1+20)=$A$1,MONTH(DecSun1+20)=12),DecSun1+20, "")</f>
        <v>41629</v>
      </c>
    </row>
    <row r="25" spans="2:37" ht="15.95" customHeight="1" x14ac:dyDescent="0.2">
      <c r="C25" s="61">
        <f>IF(AND(YEAR(MarSun1+21)=$A$1,MONTH(MarSun1+21)=3),MarSun1+21, "")</f>
        <v>41350</v>
      </c>
      <c r="D25" s="61">
        <f>IF(AND(YEAR(MarSun1+22)=$A$1,MONTH(MarSun1+22)=3),MarSun1+22, "")</f>
        <v>41351</v>
      </c>
      <c r="E25" s="61">
        <f>IF(AND(YEAR(MarSun1+23)=$A$1,MONTH(MarSun1+23)=3),MarSun1+23, "")</f>
        <v>41352</v>
      </c>
      <c r="F25" s="61">
        <f>IF(AND(YEAR(MarSun1+24)=$A$1,MONTH(MarSun1+24)=3),MarSun1+24, "")</f>
        <v>41353</v>
      </c>
      <c r="G25" s="61">
        <f>IF(AND(YEAR(MarSun1+25)=$A$1,MONTH(MarSun1+25)=3),MarSun1+25, "")</f>
        <v>41354</v>
      </c>
      <c r="H25" s="61">
        <f>IF(AND(YEAR(MarSun1+26)=$A$1,MONTH(MarSun1+26)=3),MarSun1+26, "")</f>
        <v>41355</v>
      </c>
      <c r="I25" s="61">
        <f>IF(AND(YEAR(MarSun1+27)=$A$1,MONTH(MarSun1+27)=3),MarSun1+27, "")</f>
        <v>41356</v>
      </c>
      <c r="K25" s="61">
        <f>IF(AND(YEAR(JunSun1+21)=$A$1,MONTH(JunSun1+21)=6),JunSun1+21, "")</f>
        <v>41441</v>
      </c>
      <c r="L25" s="61">
        <f>IF(AND(YEAR(JunSun1+22)=$A$1,MONTH(JunSun1+22)=6),JunSun1+22, "")</f>
        <v>41442</v>
      </c>
      <c r="M25" s="61">
        <f>IF(AND(YEAR(JunSun1+23)=$A$1,MONTH(JunSun1+23)=6),JunSun1+23, "")</f>
        <v>41443</v>
      </c>
      <c r="N25" s="61">
        <f>IF(AND(YEAR(JunSun1+24)=$A$1,MONTH(JunSun1+24)=6),JunSun1+24, "")</f>
        <v>41444</v>
      </c>
      <c r="O25" s="61">
        <f>IF(AND(YEAR(JunSun1+25)=$A$1,MONTH(JunSun1+25)=6),JunSun1+25, "")</f>
        <v>41445</v>
      </c>
      <c r="P25" s="61">
        <f>IF(AND(YEAR(JunSun1+26)=$A$1,MONTH(JunSun1+26)=6),JunSun1+26, "")</f>
        <v>41446</v>
      </c>
      <c r="Q25" s="61">
        <f>IF(AND(YEAR(JunSun1+27)=$A$1,MONTH(JunSun1+27)=6),JunSun1+27, "")</f>
        <v>41447</v>
      </c>
      <c r="S25" s="61">
        <f>IF(AND(YEAR(SepSun1+21)=$A$1,MONTH(SepSun1+21)=9),SepSun1+21, "")</f>
        <v>41539</v>
      </c>
      <c r="T25" s="70">
        <f>IF(AND(YEAR(SepSun1+22)=$A$1,MONTH(SepSun1+22)=9),SepSun1+22, "")</f>
        <v>41540</v>
      </c>
      <c r="U25" s="70">
        <f>IF(AND(YEAR(SepSun1+23)=$A$1,MONTH(SepSun1+23)=9),SepSun1+23, "")</f>
        <v>41541</v>
      </c>
      <c r="V25" s="70">
        <f>IF(AND(YEAR(SepSun1+24)=$A$1,MONTH(SepSun1+24)=9),SepSun1+24, "")</f>
        <v>41542</v>
      </c>
      <c r="W25" s="70">
        <f>IF(AND(YEAR(SepSun1+25)=$A$1,MONTH(SepSun1+25)=9),SepSun1+25, "")</f>
        <v>41543</v>
      </c>
      <c r="X25" s="70">
        <f>IF(AND(YEAR(SepSun1+26)=$A$1,MONTH(SepSun1+26)=9),SepSun1+26, "")</f>
        <v>41544</v>
      </c>
      <c r="Y25" s="61">
        <f>IF(AND(YEAR(SepSun1+27)=$A$1,MONTH(SepSun1+27)=9),SepSun1+27, "")</f>
        <v>41545</v>
      </c>
      <c r="AA25" s="61">
        <f>IF(AND(YEAR(DecSun1+21)=$A$1,MONTH(DecSun1+21)=12),DecSun1+21, "")</f>
        <v>41630</v>
      </c>
      <c r="AB25" s="61">
        <f>IF(AND(YEAR(DecSun1+22)=$A$1,MONTH(DecSun1+22)=12),DecSun1+22, "")</f>
        <v>41631</v>
      </c>
      <c r="AC25" s="61">
        <f>IF(AND(YEAR(DecSun1+23)=$A$1,MONTH(DecSun1+23)=12),DecSun1+23, "")</f>
        <v>41632</v>
      </c>
      <c r="AD25" s="68">
        <f>IF(AND(YEAR(DecSun1+24)=$A$1,MONTH(DecSun1+24)=12),DecSun1+24, "")</f>
        <v>41633</v>
      </c>
      <c r="AE25" s="61">
        <f>IF(AND(YEAR(DecSun1+25)=$A$1,MONTH(DecSun1+25)=12),DecSun1+25, "")</f>
        <v>41634</v>
      </c>
      <c r="AF25" s="61">
        <f>IF(AND(YEAR(DecSun1+26)=$A$1,MONTH(DecSun1+26)=12),DecSun1+26, "")</f>
        <v>41635</v>
      </c>
      <c r="AG25" s="61">
        <f>IF(AND(YEAR(DecSun1+27)=$A$1,MONTH(DecSun1+27)=12),DecSun1+27, "")</f>
        <v>41636</v>
      </c>
    </row>
    <row r="26" spans="2:37" ht="15.95" customHeight="1" x14ac:dyDescent="0.2">
      <c r="C26" s="61">
        <f>IF(AND(YEAR(MarSun1+28)=$A$1,MONTH(MarSun1+28)=3),MarSun1+28, "")</f>
        <v>41357</v>
      </c>
      <c r="D26" s="61">
        <f>IF(AND(YEAR(MarSun1+29)=$A$1,MONTH(MarSun1+29)=3),MarSun1+29, "")</f>
        <v>41358</v>
      </c>
      <c r="E26" s="61">
        <f>IF(AND(YEAR(MarSun1+30)=$A$1,MONTH(MarSun1+30)=3),MarSun1+30, "")</f>
        <v>41359</v>
      </c>
      <c r="F26" s="61">
        <f>IF(AND(YEAR(MarSun1+31)=$A$1,MONTH(MarSun1+31)=3),MarSun1+31, "")</f>
        <v>41360</v>
      </c>
      <c r="G26" s="61">
        <f>IF(AND(YEAR(MarSun1+32)=$A$1,MONTH(MarSun1+32)=3),MarSun1+32, "")</f>
        <v>41361</v>
      </c>
      <c r="H26" s="61">
        <f>IF(AND(YEAR(MarSun1+33)=$A$1,MONTH(MarSun1+33)=3),MarSun1+33, "")</f>
        <v>41362</v>
      </c>
      <c r="I26" s="61">
        <f>IF(AND(YEAR(MarSun1+34)=$A$1,MONTH(MarSun1+34)=3),MarSun1+34, "")</f>
        <v>41363</v>
      </c>
      <c r="K26" s="61">
        <f>IF(AND(YEAR(JunSun1+28)=$A$1,MONTH(JunSun1+28)=6),JunSun1+28, "")</f>
        <v>41448</v>
      </c>
      <c r="L26" s="61">
        <f>IF(AND(YEAR(JunSun1+29)=$A$1,MONTH(JunSun1+29)=6),JunSun1+29, "")</f>
        <v>41449</v>
      </c>
      <c r="M26" s="61">
        <f>IF(AND(YEAR(JunSun1+30)=$A$1,MONTH(JunSun1+30)=6),JunSun1+30, "")</f>
        <v>41450</v>
      </c>
      <c r="N26" s="61">
        <f>IF(AND(YEAR(JunSun1+31)=$A$1,MONTH(JunSun1+31)=6),JunSun1+31, "")</f>
        <v>41451</v>
      </c>
      <c r="O26" s="61">
        <f>IF(AND(YEAR(JunSun1+32)=$A$1,MONTH(JunSun1+32)=6),JunSun1+32, "")</f>
        <v>41452</v>
      </c>
      <c r="P26" s="61">
        <f>IF(AND(YEAR(JunSun1+33)=$A$1,MONTH(JunSun1+33)=6),JunSun1+33, "")</f>
        <v>41453</v>
      </c>
      <c r="Q26" s="61">
        <f>IF(AND(YEAR(JunSun1+34)=$A$1,MONTH(JunSun1+34)=6),JunSun1+34, "")</f>
        <v>41454</v>
      </c>
      <c r="S26" s="61">
        <f>IF(AND(YEAR(SepSun1+28)=$A$1,MONTH(SepSun1+28)=9),SepSun1+28, "")</f>
        <v>41546</v>
      </c>
      <c r="T26" s="70">
        <f>IF(AND(YEAR(SepSun1+29)=$A$1,MONTH(SepSun1+29)=9),SepSun1+29, "")</f>
        <v>41547</v>
      </c>
      <c r="U26" s="61" t="str">
        <f>IF(AND(YEAR(SepSun1+30)=$A$1,MONTH(SepSun1+30)=9),SepSun1+30, "")</f>
        <v/>
      </c>
      <c r="V26" s="61" t="str">
        <f>IF(AND(YEAR(SepSun1+31)=$A$1,MONTH(SepSun1+31)=9),SepSun1+31, "")</f>
        <v/>
      </c>
      <c r="W26" s="61" t="str">
        <f>IF(AND(YEAR(SepSun1+32)=$A$1,MONTH(SepSun1+32)=9),SepSun1+32, "")</f>
        <v/>
      </c>
      <c r="X26" s="61" t="str">
        <f>IF(AND(YEAR(SepSun1+33)=$A$1,MONTH(SepSun1+33)=9),SepSun1+33, "")</f>
        <v/>
      </c>
      <c r="Y26" s="61" t="str">
        <f>IF(AND(YEAR(SepSun1+34)=$A$1,MONTH(SepSun1+34)=9),SepSun1+34, "")</f>
        <v/>
      </c>
      <c r="AA26" s="61">
        <f>IF(AND(YEAR(DecSun1+28)=$A$1,MONTH(DecSun1+28)=12),DecSun1+28, "")</f>
        <v>41637</v>
      </c>
      <c r="AB26" s="61">
        <f>IF(AND(YEAR(DecSun1+29)=$A$1,MONTH(DecSun1+29)=12),DecSun1+29, "")</f>
        <v>41638</v>
      </c>
      <c r="AC26" s="61">
        <f>IF(AND(YEAR(DecSun1+30)=$A$1,MONTH(DecSun1+30)=12),DecSun1+30, "")</f>
        <v>41639</v>
      </c>
      <c r="AD26" s="61" t="str">
        <f>IF(AND(YEAR(DecSun1+31)=$A$1,MONTH(DecSun1+31)=12),DecSun1+31, "")</f>
        <v/>
      </c>
      <c r="AE26" s="61" t="str">
        <f>IF(AND(YEAR(DecSun1+32)=$A$1,MONTH(DecSun1+32)=12),DecSun1+32, "")</f>
        <v/>
      </c>
      <c r="AF26" s="61" t="str">
        <f>IF(AND(YEAR(DecSun1+33)=$A$1,MONTH(DecSun1+33)=12),DecSun1+33, "")</f>
        <v/>
      </c>
      <c r="AG26" s="61" t="str">
        <f>IF(AND(YEAR(DecSun1+34)=$A$1,MONTH(DecSun1+34)=12),DecSun1+34, "")</f>
        <v/>
      </c>
    </row>
    <row r="27" spans="2:37" ht="15.95" customHeight="1" x14ac:dyDescent="0.2">
      <c r="C27" s="61">
        <f>IF(AND(YEAR(MarSun1+35)=$A$1,MONTH(MarSun1+35)=3),MarSun1+35, "")</f>
        <v>41364</v>
      </c>
      <c r="D27" s="61" t="str">
        <f>IF(AND(YEAR(MarSun1+36)=$A$1,MONTH(MarSun1+36)=3),MarSun1+36, "")</f>
        <v/>
      </c>
      <c r="E27" s="61" t="str">
        <f>IF(AND(YEAR(MarSun1+37)=$A$1,MONTH(MarSun1+37)=3),MarSun1+37, "")</f>
        <v/>
      </c>
      <c r="F27" s="61" t="str">
        <f>IF(AND(YEAR(MarSun1+38)=$A$1,MONTH(MarSun1+38)=3),MarSun1+38, "")</f>
        <v/>
      </c>
      <c r="G27" s="61" t="str">
        <f>IF(AND(YEAR(MarSun1+39)=$A$1,MONTH(MarSun1+39)=3),MarSun1+39, "")</f>
        <v/>
      </c>
      <c r="H27" s="61" t="str">
        <f>IF(AND(YEAR(MarSun1+40)=$A$1,MONTH(MarSun1+40)=3),MarSun1+40, "")</f>
        <v/>
      </c>
      <c r="I27" s="61" t="str">
        <f>IF(AND(YEAR(MarSun1+41)=$A$1,MONTH(MarSun1+41)=3),MarSun1+41, "")</f>
        <v/>
      </c>
      <c r="K27" s="61">
        <f>IF(AND(YEAR(JunSun1+35)=$A$1,MONTH(JunSun1+35)=6),JunSun1+35, "")</f>
        <v>41455</v>
      </c>
      <c r="L27" s="61" t="str">
        <f>IF(AND(YEAR(JunSun1+36)=$A$1,MONTH(JunSun1+36)=6),JunSun1+36, "")</f>
        <v/>
      </c>
      <c r="M27" s="61" t="str">
        <f>IF(AND(YEAR(JunSun1+37)=$A$1,MONTH(JunSun1+37)=6),JunSun1+37, "")</f>
        <v/>
      </c>
      <c r="N27" s="61" t="str">
        <f>IF(AND(YEAR(JunSun1+38)=$A$1,MONTH(JunSun1+38)=6),JunSun1+38, "")</f>
        <v/>
      </c>
      <c r="O27" s="61" t="str">
        <f>IF(AND(YEAR(JunSun1+39)=$A$1,MONTH(JunSun1+39)=6),JunSun1+39, "")</f>
        <v/>
      </c>
      <c r="P27" s="61" t="str">
        <f>IF(AND(YEAR(JunSun1+40)=$A$1,MONTH(JunSun1+40)=6),JunSun1+40, "")</f>
        <v/>
      </c>
      <c r="Q27" s="61" t="str">
        <f>IF(AND(YEAR(JunSun1+41)=$A$1,MONTH(JunSun1+41)=6),JunSun1+41, "")</f>
        <v/>
      </c>
      <c r="S27" s="61" t="str">
        <f>IF(AND(YEAR(SepSun1+35)=$A$1,MONTH(SepSun1+35)=9),SepSun1+35, "")</f>
        <v/>
      </c>
      <c r="T27" s="61" t="str">
        <f>IF(AND(YEAR(SepSun1+36)=$A$1,MONTH(SepSun1+36)=9),SepSun1+36, "")</f>
        <v/>
      </c>
      <c r="U27" s="61" t="str">
        <f>IF(AND(YEAR(SepSun1+37)=$A$1,MONTH(SepSun1+37)=9),SepSun1+37, "")</f>
        <v/>
      </c>
      <c r="V27" s="61" t="str">
        <f>IF(AND(YEAR(SepSun1+38)=$A$1,MONTH(SepSun1+38)=9),SepSun1+38, "")</f>
        <v/>
      </c>
      <c r="W27" s="61" t="str">
        <f>IF(AND(YEAR(SepSun1+39)=$A$1,MONTH(SepSun1+39)=9),SepSun1+39, "")</f>
        <v/>
      </c>
      <c r="X27" s="61" t="str">
        <f>IF(AND(YEAR(SepSun1+40)=$A$1,MONTH(SepSun1+40)=9),SepSun1+40, "")</f>
        <v/>
      </c>
      <c r="Y27" s="61" t="str">
        <f>IF(AND(YEAR(SepSun1+41)=$A$1,MONTH(SepSun1+41)=9),SepSun1+41, "")</f>
        <v/>
      </c>
      <c r="AA27" s="61" t="str">
        <f>IF(AND(YEAR(DecSun1+35)=$A$1,MONTH(DecSun1+35)=12),DecSun1+35, "")</f>
        <v/>
      </c>
      <c r="AB27" s="61" t="str">
        <f>IF(AND(YEAR(DecSun1+36)=$A$1,MONTH(DecSun1+36)=12),DecSun1+36, "")</f>
        <v/>
      </c>
      <c r="AC27" s="61" t="str">
        <f>IF(AND(YEAR(DecSun1+37)=$A$1,MONTH(DecSun1+37)=12),DecSun1+37, "")</f>
        <v/>
      </c>
      <c r="AD27" s="61" t="str">
        <f>IF(AND(YEAR(DecSun1+38)=$A$1,MONTH(DecSun1+38)=12),DecSun1+38, "")</f>
        <v/>
      </c>
      <c r="AE27" s="61" t="str">
        <f>IF(AND(YEAR(DecSun1+39)=$A$1,MONTH(DecSun1+39)=12),DecSun1+39, "")</f>
        <v/>
      </c>
      <c r="AF27" s="61" t="str">
        <f>IF(AND(YEAR(DecSun1+40)=$A$1,MONTH(DecSun1+40)=12),DecSun1+40, "")</f>
        <v/>
      </c>
      <c r="AG27" s="61" t="str">
        <f>IF(AND(YEAR(DecSun1+41)=$A$1,MONTH(DecSun1+41)=12),DecSun1+41, "")</f>
        <v/>
      </c>
    </row>
    <row r="28" spans="2:37" x14ac:dyDescent="0.2">
      <c r="B28" s="65"/>
      <c r="C28" s="65"/>
      <c r="D28" s="65"/>
      <c r="E28" s="65"/>
      <c r="F28" s="65"/>
      <c r="G28" s="65"/>
      <c r="H28" s="65"/>
      <c r="I28" s="65"/>
      <c r="K28" s="65"/>
      <c r="L28" s="65"/>
      <c r="M28" s="65"/>
      <c r="N28" s="65"/>
      <c r="O28" s="65"/>
      <c r="P28" s="65"/>
      <c r="Q28" s="65"/>
      <c r="S28" s="65"/>
      <c r="T28" s="65"/>
      <c r="U28" s="65"/>
      <c r="V28" s="65"/>
      <c r="W28" s="65"/>
      <c r="X28" s="65"/>
      <c r="Y28" s="65"/>
      <c r="AA28" s="65"/>
      <c r="AB28" s="65"/>
      <c r="AC28" s="65"/>
      <c r="AD28" s="65"/>
      <c r="AE28" s="65"/>
      <c r="AF28" s="65"/>
      <c r="AG28" s="65"/>
    </row>
    <row r="29" spans="2:37" x14ac:dyDescent="0.2">
      <c r="B29" s="65"/>
      <c r="C29" s="65"/>
      <c r="D29" s="65"/>
      <c r="E29" s="65"/>
      <c r="F29" s="65"/>
      <c r="G29" s="65"/>
      <c r="H29" s="65"/>
      <c r="I29" s="65"/>
      <c r="K29" s="65"/>
      <c r="L29" s="65"/>
      <c r="M29" s="65"/>
      <c r="N29" s="65"/>
      <c r="O29" s="65"/>
      <c r="P29" s="65"/>
      <c r="Q29" s="65"/>
      <c r="S29" s="65"/>
      <c r="T29" s="65"/>
      <c r="U29" s="65"/>
      <c r="V29" s="65"/>
      <c r="W29" s="65"/>
      <c r="X29" s="65"/>
      <c r="Y29" s="65"/>
      <c r="AA29" s="65"/>
      <c r="AB29" s="65"/>
      <c r="AC29" s="65"/>
      <c r="AD29" s="65"/>
      <c r="AE29" s="65"/>
      <c r="AF29" s="65"/>
      <c r="AG29" s="65"/>
    </row>
    <row r="30" spans="2:37" x14ac:dyDescent="0.2">
      <c r="B30" s="65"/>
      <c r="C30" s="65"/>
      <c r="D30" s="65"/>
      <c r="E30" s="65"/>
      <c r="F30" s="65"/>
      <c r="G30" s="65"/>
      <c r="H30" s="65"/>
      <c r="I30" s="65"/>
      <c r="K30" s="65"/>
      <c r="L30" s="65"/>
      <c r="M30" s="65"/>
      <c r="N30" s="65"/>
      <c r="O30" s="65"/>
      <c r="P30" s="65"/>
      <c r="Q30" s="65"/>
      <c r="S30" s="65"/>
      <c r="T30" s="65"/>
      <c r="U30" s="65"/>
      <c r="V30" s="65"/>
      <c r="W30" s="65"/>
      <c r="X30" s="65"/>
      <c r="Y30" s="65"/>
      <c r="AA30" s="65"/>
      <c r="AB30" s="65"/>
      <c r="AC30" s="65"/>
      <c r="AD30" s="65"/>
      <c r="AE30" s="65"/>
      <c r="AF30" s="65"/>
      <c r="AG30" s="65"/>
    </row>
    <row r="31" spans="2:37" x14ac:dyDescent="0.2">
      <c r="B31" s="65"/>
      <c r="C31" s="65"/>
      <c r="D31" s="65"/>
      <c r="E31" s="65"/>
      <c r="F31" s="65"/>
      <c r="G31" s="65"/>
      <c r="H31" s="65"/>
      <c r="I31" s="65"/>
      <c r="K31" s="65"/>
      <c r="L31" s="65"/>
      <c r="M31" s="65"/>
      <c r="N31" s="65"/>
      <c r="O31" s="65"/>
      <c r="P31" s="65"/>
      <c r="Q31" s="65"/>
      <c r="S31" s="65"/>
      <c r="T31" s="65"/>
      <c r="U31" s="65"/>
      <c r="V31" s="65"/>
      <c r="W31" s="65"/>
      <c r="X31" s="65"/>
      <c r="Y31" s="65"/>
      <c r="AA31" s="65"/>
      <c r="AB31" s="65"/>
      <c r="AC31" s="65"/>
      <c r="AD31" s="65"/>
      <c r="AE31" s="65"/>
      <c r="AF31" s="65"/>
      <c r="AG31" s="65"/>
    </row>
    <row r="32" spans="2:37" x14ac:dyDescent="0.2">
      <c r="B32" s="65"/>
      <c r="C32" s="65"/>
      <c r="D32" s="65"/>
      <c r="E32" s="65"/>
      <c r="F32" s="65"/>
      <c r="G32" s="65"/>
      <c r="H32" s="65"/>
      <c r="I32" s="65"/>
      <c r="K32" s="65"/>
      <c r="L32" s="65"/>
      <c r="M32" s="65"/>
      <c r="N32" s="65"/>
      <c r="O32" s="65"/>
      <c r="P32" s="65"/>
      <c r="Q32" s="65"/>
      <c r="S32" s="65"/>
      <c r="T32" s="65"/>
      <c r="U32" s="65"/>
      <c r="V32" s="65"/>
      <c r="W32" s="65"/>
      <c r="X32" s="65"/>
      <c r="Y32" s="65"/>
      <c r="AA32" s="65"/>
      <c r="AB32" s="65"/>
      <c r="AC32" s="65"/>
      <c r="AD32" s="65"/>
      <c r="AE32" s="65"/>
      <c r="AF32" s="65"/>
      <c r="AG32" s="65"/>
    </row>
    <row r="33" spans="2:33" x14ac:dyDescent="0.2">
      <c r="B33" s="65"/>
      <c r="C33" s="65"/>
      <c r="D33" s="65"/>
      <c r="E33" s="65"/>
      <c r="F33" s="65"/>
      <c r="G33" s="65"/>
      <c r="H33" s="65"/>
      <c r="I33" s="65"/>
      <c r="K33" s="65"/>
      <c r="L33" s="65"/>
      <c r="M33" s="65"/>
      <c r="N33" s="65"/>
      <c r="O33" s="65"/>
      <c r="P33" s="65"/>
      <c r="Q33" s="65"/>
      <c r="S33" s="65"/>
      <c r="T33" s="65"/>
      <c r="U33" s="65"/>
      <c r="V33" s="65"/>
      <c r="W33" s="65"/>
      <c r="X33" s="65"/>
      <c r="Y33" s="65"/>
      <c r="AA33" s="65"/>
      <c r="AB33" s="65"/>
      <c r="AC33" s="65"/>
      <c r="AD33" s="65"/>
      <c r="AE33" s="65"/>
      <c r="AF33" s="65"/>
      <c r="AG33" s="65"/>
    </row>
  </sheetData>
  <mergeCells count="12">
    <mergeCell ref="C20:I20"/>
    <mergeCell ref="K20:Q20"/>
    <mergeCell ref="S20:Y20"/>
    <mergeCell ref="AA20:AG20"/>
    <mergeCell ref="C2:I2"/>
    <mergeCell ref="K2:Q2"/>
    <mergeCell ref="S2:Y2"/>
    <mergeCell ref="AA2:AG2"/>
    <mergeCell ref="C11:I11"/>
    <mergeCell ref="K11:Q11"/>
    <mergeCell ref="S11:Y11"/>
    <mergeCell ref="AA11:AG11"/>
  </mergeCells>
  <dataValidations count="1">
    <dataValidation type="whole" allowBlank="1" showInputMessage="1" showErrorMessage="1" sqref="A1:B1">
      <formula1>1900</formula1>
      <formula2>9999</formula2>
    </dataValidation>
  </dataValidations>
  <printOptions horizontalCentered="1" verticalCentered="1"/>
  <pageMargins left="0.5" right="0.5" top="0.5" bottom="0.5" header="0.5" footer="0.5"/>
  <pageSetup orientation="landscape"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8433" r:id="rId4" name="Spinner 1">
              <controlPr defaultSize="0" print="0" autoPict="0">
                <anchor moveWithCells="1">
                  <from>
                    <xdr:col>1</xdr:col>
                    <xdr:colOff>9525</xdr:colOff>
                    <xdr:row>0</xdr:row>
                    <xdr:rowOff>0</xdr:rowOff>
                  </from>
                  <to>
                    <xdr:col>1</xdr:col>
                    <xdr:colOff>209550</xdr:colOff>
                    <xdr:row>0</xdr:row>
                    <xdr:rowOff>342900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pageSetUpPr fitToPage="1"/>
  </sheetPr>
  <dimension ref="A1:AK33"/>
  <sheetViews>
    <sheetView showGridLines="0" workbookViewId="0">
      <selection activeCell="AI14" sqref="AI14"/>
    </sheetView>
  </sheetViews>
  <sheetFormatPr defaultRowHeight="12.75" x14ac:dyDescent="0.2"/>
  <cols>
    <col min="1" max="1" width="9.5703125" style="57" bestFit="1" customWidth="1"/>
    <col min="2" max="33" width="3.7109375" style="57" customWidth="1"/>
    <col min="34" max="34" width="4" style="57" customWidth="1"/>
    <col min="35" max="35" width="30.7109375" style="57" customWidth="1"/>
    <col min="36" max="36" width="1.7109375" style="57" customWidth="1"/>
    <col min="37" max="37" width="16.42578125" style="57" customWidth="1"/>
    <col min="38" max="16384" width="9.140625" style="57"/>
  </cols>
  <sheetData>
    <row r="1" spans="1:37" ht="26.25" x14ac:dyDescent="0.2">
      <c r="A1" s="56">
        <v>2013</v>
      </c>
      <c r="C1" s="58"/>
      <c r="D1" s="58"/>
      <c r="E1" s="58"/>
      <c r="F1" s="58"/>
      <c r="G1" s="58"/>
      <c r="H1" s="58"/>
      <c r="I1" s="58"/>
      <c r="J1" s="58"/>
      <c r="K1" s="58"/>
      <c r="L1" s="58"/>
      <c r="M1" s="58"/>
      <c r="N1" s="58"/>
      <c r="O1" s="58"/>
      <c r="P1" s="58"/>
      <c r="Q1" s="58"/>
      <c r="R1" s="58"/>
      <c r="S1" s="58"/>
      <c r="T1" s="58"/>
    </row>
    <row r="2" spans="1:37" ht="15.95" customHeight="1" x14ac:dyDescent="0.2">
      <c r="C2" s="159" t="s">
        <v>71</v>
      </c>
      <c r="D2" s="160"/>
      <c r="E2" s="160"/>
      <c r="F2" s="160"/>
      <c r="G2" s="160"/>
      <c r="H2" s="160"/>
      <c r="I2" s="161"/>
      <c r="K2" s="159" t="s">
        <v>72</v>
      </c>
      <c r="L2" s="160"/>
      <c r="M2" s="160"/>
      <c r="N2" s="160"/>
      <c r="O2" s="160"/>
      <c r="P2" s="160"/>
      <c r="Q2" s="161"/>
      <c r="S2" s="159" t="s">
        <v>73</v>
      </c>
      <c r="T2" s="160"/>
      <c r="U2" s="160"/>
      <c r="V2" s="160"/>
      <c r="W2" s="160"/>
      <c r="X2" s="160"/>
      <c r="Y2" s="161"/>
      <c r="AA2" s="159" t="s">
        <v>74</v>
      </c>
      <c r="AB2" s="160"/>
      <c r="AC2" s="160"/>
      <c r="AD2" s="160"/>
      <c r="AE2" s="160"/>
      <c r="AF2" s="160"/>
      <c r="AG2" s="161"/>
      <c r="AI2" s="73" t="s">
        <v>90</v>
      </c>
      <c r="AK2" s="73" t="s">
        <v>91</v>
      </c>
    </row>
    <row r="3" spans="1:37" ht="15.95" customHeight="1" x14ac:dyDescent="0.2">
      <c r="B3" s="59"/>
      <c r="C3" s="60" t="s">
        <v>75</v>
      </c>
      <c r="D3" s="60" t="s">
        <v>76</v>
      </c>
      <c r="E3" s="60" t="s">
        <v>77</v>
      </c>
      <c r="F3" s="60" t="s">
        <v>78</v>
      </c>
      <c r="G3" s="60" t="s">
        <v>77</v>
      </c>
      <c r="H3" s="60" t="s">
        <v>79</v>
      </c>
      <c r="I3" s="60" t="s">
        <v>75</v>
      </c>
      <c r="K3" s="60" t="s">
        <v>75</v>
      </c>
      <c r="L3" s="60" t="s">
        <v>76</v>
      </c>
      <c r="M3" s="60" t="s">
        <v>77</v>
      </c>
      <c r="N3" s="60" t="s">
        <v>78</v>
      </c>
      <c r="O3" s="60" t="s">
        <v>77</v>
      </c>
      <c r="P3" s="60" t="s">
        <v>79</v>
      </c>
      <c r="Q3" s="60" t="s">
        <v>75</v>
      </c>
      <c r="S3" s="60" t="s">
        <v>75</v>
      </c>
      <c r="T3" s="60" t="s">
        <v>76</v>
      </c>
      <c r="U3" s="60" t="s">
        <v>77</v>
      </c>
      <c r="V3" s="60" t="s">
        <v>78</v>
      </c>
      <c r="W3" s="60" t="s">
        <v>77</v>
      </c>
      <c r="X3" s="60" t="s">
        <v>79</v>
      </c>
      <c r="Y3" s="60" t="s">
        <v>75</v>
      </c>
      <c r="AA3" s="60" t="s">
        <v>75</v>
      </c>
      <c r="AB3" s="60" t="s">
        <v>76</v>
      </c>
      <c r="AC3" s="60" t="s">
        <v>77</v>
      </c>
      <c r="AD3" s="60" t="s">
        <v>78</v>
      </c>
      <c r="AE3" s="60" t="s">
        <v>77</v>
      </c>
      <c r="AF3" s="60" t="s">
        <v>79</v>
      </c>
      <c r="AG3" s="60" t="s">
        <v>75</v>
      </c>
    </row>
    <row r="4" spans="1:37" ht="15.95" customHeight="1" x14ac:dyDescent="0.2">
      <c r="C4" s="61" t="str">
        <f>IF(AND(YEAR(JanSun1)=$A$1,MONTH(JanSun1)=1),JanSun1, "")</f>
        <v/>
      </c>
      <c r="D4" s="61" t="str">
        <f>IF(AND(YEAR(JanSun1+1)=$A$1,MONTH(JanSun1+1)=1),JanSun1+1, "")</f>
        <v/>
      </c>
      <c r="E4" s="61">
        <f>IF(AND(YEAR(JanSun1+2)=$A$1,MONTH(JanSun1+2)=1),JanSun1+2, "")</f>
        <v>41275</v>
      </c>
      <c r="F4" s="61">
        <f>IF(AND(YEAR(JanSun1+3)=$A$1,MONTH(JanSun1+3)=1),JanSun1+3, "")</f>
        <v>41276</v>
      </c>
      <c r="G4" s="61">
        <f>IF(AND(YEAR(JanSun1+4)=$A$1,MONTH(JanSun1+4)=1),JanSun1+4, "")</f>
        <v>41277</v>
      </c>
      <c r="H4" s="61">
        <f>IF(AND(YEAR(JanSun1+5)=$A$1,MONTH(JanSun1+5)=1),JanSun1+5, "")</f>
        <v>41278</v>
      </c>
      <c r="I4" s="61">
        <f>IF(AND(YEAR(JanSun1+6)=$A$1,MONTH(JanSun1+6)=1),JanSun1+6, "")</f>
        <v>41279</v>
      </c>
      <c r="K4" s="61" t="str">
        <f>IF(AND(YEAR(AprSun1)=$A$1,MONTH(AprSun1)=4),AprSun1, "")</f>
        <v/>
      </c>
      <c r="L4" s="61">
        <f>IF(AND(YEAR(AprSun1+1)=$A$1,MONTH(AprSun1+1)=4),AprSun1+1, "")</f>
        <v>41365</v>
      </c>
      <c r="M4" s="61">
        <f>IF(AND(YEAR(AprSun1+2)=$A$1,MONTH(AprSun1+2)=4),AprSun1+2, "")</f>
        <v>41366</v>
      </c>
      <c r="N4" s="61">
        <f>IF(AND(YEAR(AprSun1+3)=$A$1,MONTH(AprSun1+3)=4),AprSun1+3, "")</f>
        <v>41367</v>
      </c>
      <c r="O4" s="61">
        <f>IF(AND(YEAR(AprSun1+4)=$A$1,MONTH(AprSun1+4)=4),AprSun1+4, "")</f>
        <v>41368</v>
      </c>
      <c r="P4" s="61">
        <f>IF(AND(YEAR(AprSun1+5)=$A$1,MONTH(AprSun1+5)=4),AprSun1+5, "")</f>
        <v>41369</v>
      </c>
      <c r="Q4" s="61">
        <f>IF(AND(YEAR(AprSun1+6)=$A$1,MONTH(AprSun1+6)=4),AprSun1+6, "")</f>
        <v>41370</v>
      </c>
      <c r="S4" s="61" t="str">
        <f>IF(AND(YEAR(JulSun1)=$A$1,MONTH(JulSun1)=7),JulSun1, "")</f>
        <v/>
      </c>
      <c r="T4" s="61">
        <f>IF(AND(YEAR(JulSun1+1)=$A$1,MONTH(JulSun1+1)=7),JulSun1+1, "")</f>
        <v>41456</v>
      </c>
      <c r="U4" s="61">
        <f>IF(AND(YEAR(JulSun1+2)=$A$1,MONTH(JulSun1+2)=7),JulSun1+2, "")</f>
        <v>41457</v>
      </c>
      <c r="V4" s="61">
        <f>IF(AND(YEAR(JulSun1+3)=$A$1,MONTH(JulSun1+3)=7),JulSun1+3, "")</f>
        <v>41458</v>
      </c>
      <c r="W4" s="61">
        <f>IF(AND(YEAR(JulSun1+4)=$A$1,MONTH(JulSun1+4)=7),JulSun1+4, "")</f>
        <v>41459</v>
      </c>
      <c r="X4" s="61">
        <f>IF(AND(YEAR(JulSun1+5)=$A$1,MONTH(JulSun1+5)=7),JulSun1+5, "")</f>
        <v>41460</v>
      </c>
      <c r="Y4" s="61">
        <f>IF(AND(YEAR(JulSun1+6)=$A$1,MONTH(JulSun1+6)=7),JulSun1+6, "")</f>
        <v>41461</v>
      </c>
      <c r="AA4" s="61" t="str">
        <f>IF(AND(YEAR(OctSun1)=$A$1,MONTH(OctSun1)=10),OctSun1, "")</f>
        <v/>
      </c>
      <c r="AB4" s="61" t="str">
        <f>IF(AND(YEAR(OctSun1+1)=$A$1,MONTH(OctSun1+1)=10),OctSun1+1, "")</f>
        <v/>
      </c>
      <c r="AC4" s="61">
        <f>IF(AND(YEAR(OctSun1+2)=$A$1,MONTH(OctSun1+2)=10),OctSun1+2, "")</f>
        <v>41548</v>
      </c>
      <c r="AD4" s="61">
        <f>IF(AND(YEAR(OctSun1+3)=$A$1,MONTH(OctSun1+3)=10),OctSun1+3, "")</f>
        <v>41549</v>
      </c>
      <c r="AE4" s="61">
        <f>IF(AND(YEAR(OctSun1+4)=$A$1,MONTH(OctSun1+4)=10),OctSun1+4, "")</f>
        <v>41550</v>
      </c>
      <c r="AF4" s="61">
        <f>IF(AND(YEAR(OctSun1+5)=$A$1,MONTH(OctSun1+5)=10),OctSun1+5, "")</f>
        <v>41551</v>
      </c>
      <c r="AG4" s="61">
        <f>IF(AND(YEAR(OctSun1+6)=$A$1,MONTH(OctSun1+6)=10),OctSun1+6, "")</f>
        <v>41552</v>
      </c>
    </row>
    <row r="5" spans="1:37" ht="15.95" customHeight="1" x14ac:dyDescent="0.2">
      <c r="C5" s="61">
        <f>IF(AND(YEAR(JanSun1+7)=$A$1,MONTH(JanSun1+7)=1),JanSun1+7, "")</f>
        <v>41280</v>
      </c>
      <c r="D5" s="61">
        <f>IF(AND(YEAR(JanSun1+8)=$A$1,MONTH(JanSun1+8)=1),JanSun1+8, "")</f>
        <v>41281</v>
      </c>
      <c r="E5" s="61">
        <f>IF(AND(YEAR(JanSun1+9)=$A$1,MONTH(JanSun1+9)=1),JanSun1+9, "")</f>
        <v>41282</v>
      </c>
      <c r="F5" s="61">
        <f>IF(AND(YEAR(JanSun1+10)=$A$1,MONTH(JanSun1+10)=1),JanSun1+10, "")</f>
        <v>41283</v>
      </c>
      <c r="G5" s="61">
        <f>IF(AND(YEAR(JanSun1+11)=$A$1,MONTH(JanSun1+11)=1),JanSun1+11, "")</f>
        <v>41284</v>
      </c>
      <c r="H5" s="61">
        <f>IF(AND(YEAR(JanSun1+12)=$A$1,MONTH(JanSun1+12)=1),JanSun1+12, "")</f>
        <v>41285</v>
      </c>
      <c r="I5" s="61">
        <f>IF(AND(YEAR(JanSun1+13)=$A$1,MONTH(JanSun1+13)=1),JanSun1+13, "")</f>
        <v>41286</v>
      </c>
      <c r="K5" s="61">
        <f>IF(AND(YEAR(AprSun1+7)=$A$1,MONTH(AprSun1+7)=4),AprSun1+7, "")</f>
        <v>41371</v>
      </c>
      <c r="L5" s="61">
        <f>IF(AND(YEAR(AprSun1+8)=$A$1,MONTH(AprSun1+8)=4),AprSun1+8, "")</f>
        <v>41372</v>
      </c>
      <c r="M5" s="61">
        <f>IF(AND(YEAR(AprSun1+9)=$A$1,MONTH(AprSun1+9)=4),AprSun1+9, "")</f>
        <v>41373</v>
      </c>
      <c r="N5" s="61">
        <f>IF(AND(YEAR(AprSun1+10)=$A$1,MONTH(AprSun1+10)=4),AprSun1+10, "")</f>
        <v>41374</v>
      </c>
      <c r="O5" s="61">
        <f>IF(AND(YEAR(AprSun1+11)=$A$1,MONTH(AprSun1+11)=4),AprSun1+11, "")</f>
        <v>41375</v>
      </c>
      <c r="P5" s="61">
        <f>IF(AND(YEAR(AprSun1+12)=$A$1,MONTH(AprSun1+12)=4),AprSun1+12, "")</f>
        <v>41376</v>
      </c>
      <c r="Q5" s="61">
        <f>IF(AND(YEAR(AprSun1+13)=$A$1,MONTH(AprSun1+13)=4),AprSun1+13, "")</f>
        <v>41377</v>
      </c>
      <c r="S5" s="61">
        <f>IF(AND(YEAR(JulSun1+7)=$A$1,MONTH(JulSun1+7)=7),JulSun1+7, "")</f>
        <v>41462</v>
      </c>
      <c r="T5" s="61">
        <f>IF(AND(YEAR(JulSun1+8)=$A$1,MONTH(JulSun1+8)=7),JulSun1+8, "")</f>
        <v>41463</v>
      </c>
      <c r="U5" s="61">
        <f>IF(AND(YEAR(JulSun1+9)=$A$1,MONTH(JulSun1+9)=7),JulSun1+9, "")</f>
        <v>41464</v>
      </c>
      <c r="V5" s="61">
        <f>IF(AND(YEAR(JulSun1+10)=$A$1,MONTH(JulSun1+10)=7),JulSun1+10, "")</f>
        <v>41465</v>
      </c>
      <c r="W5" s="61">
        <f>IF(AND(YEAR(JulSun1+11)=$A$1,MONTH(JulSun1+11)=7),JulSun1+11, "")</f>
        <v>41466</v>
      </c>
      <c r="X5" s="61">
        <f>IF(AND(YEAR(JulSun1+12)=$A$1,MONTH(JulSun1+12)=7),JulSun1+12, "")</f>
        <v>41467</v>
      </c>
      <c r="Y5" s="61">
        <f>IF(AND(YEAR(JulSun1+13)=$A$1,MONTH(JulSun1+13)=7),JulSun1+13, "")</f>
        <v>41468</v>
      </c>
      <c r="AA5" s="61">
        <f>IF(AND(YEAR(OctSun1+7)=$A$1,MONTH(OctSun1+7)=10),OctSun1+7, "")</f>
        <v>41553</v>
      </c>
      <c r="AB5" s="61">
        <f>IF(AND(YEAR(OctSun1+8)=$A$1,MONTH(OctSun1+8)=10),OctSun1+8, "")</f>
        <v>41554</v>
      </c>
      <c r="AC5" s="61">
        <f>IF(AND(YEAR(OctSun1+9)=$A$1,MONTH(OctSun1+9)=10),OctSun1+9, "")</f>
        <v>41555</v>
      </c>
      <c r="AD5" s="61">
        <f>IF(AND(YEAR(OctSun1+10)=$A$1,MONTH(OctSun1+10)=10),OctSun1+10, "")</f>
        <v>41556</v>
      </c>
      <c r="AE5" s="61">
        <f>IF(AND(YEAR(OctSun1+11)=$A$1,MONTH(OctSun1+11)=10),OctSun1+11, "")</f>
        <v>41557</v>
      </c>
      <c r="AF5" s="61">
        <f>IF(AND(YEAR(OctSun1+12)=$A$1,MONTH(OctSun1+12)=10),OctSun1+12, "")</f>
        <v>41558</v>
      </c>
      <c r="AG5" s="61">
        <f>IF(AND(YEAR(OctSun1+13)=$A$1,MONTH(OctSun1+13)=10),OctSun1+13, "")</f>
        <v>41559</v>
      </c>
    </row>
    <row r="6" spans="1:37" ht="15.95" customHeight="1" x14ac:dyDescent="0.2">
      <c r="C6" s="61">
        <f>IF(AND(YEAR(JanSun1+14)=$A$1,MONTH(JanSun1+14)=1),JanSun1+14, "")</f>
        <v>41287</v>
      </c>
      <c r="D6" s="61">
        <f>IF(AND(YEAR(JanSun1+15)=$A$1,MONTH(JanSun1+15)=1),JanSun1+15, "")</f>
        <v>41288</v>
      </c>
      <c r="E6" s="61">
        <f>IF(AND(YEAR(JanSun1+16)=$A$1,MONTH(JanSun1+16)=1),JanSun1+16, "")</f>
        <v>41289</v>
      </c>
      <c r="F6" s="61">
        <f>IF(AND(YEAR(JanSun1+17)=$A$1,MONTH(JanSun1+17)=1),JanSun1+17, "")</f>
        <v>41290</v>
      </c>
      <c r="G6" s="61">
        <f>IF(AND(YEAR(JanSun1+18)=$A$1,MONTH(JanSun1+18)=1),JanSun1+18, "")</f>
        <v>41291</v>
      </c>
      <c r="H6" s="61">
        <f>IF(AND(YEAR(JanSun1+19)=$A$1,MONTH(JanSun1+19)=1),JanSun1+19, "")</f>
        <v>41292</v>
      </c>
      <c r="I6" s="61">
        <f>IF(AND(YEAR(JanSun1+20)=$A$1,MONTH(JanSun1+20)=1),JanSun1+20, "")</f>
        <v>41293</v>
      </c>
      <c r="K6" s="61">
        <f>IF(AND(YEAR(AprSun1+14)=$A$1,MONTH(AprSun1+14)=4),AprSun1+14, "")</f>
        <v>41378</v>
      </c>
      <c r="L6" s="61">
        <f>IF(AND(YEAR(AprSun1+15)=$A$1,MONTH(AprSun1+15)=4),AprSun1+15, "")</f>
        <v>41379</v>
      </c>
      <c r="M6" s="61">
        <f>IF(AND(YEAR(AprSun1+16)=$A$1,MONTH(AprSun1+16)=4),AprSun1+16, "")</f>
        <v>41380</v>
      </c>
      <c r="N6" s="61">
        <f>IF(AND(YEAR(AprSun1+17)=$A$1,MONTH(AprSun1+17)=4),AprSun1+17, "")</f>
        <v>41381</v>
      </c>
      <c r="O6" s="61">
        <f>IF(AND(YEAR(AprSun1+18)=$A$1,MONTH(AprSun1+18)=4),AprSun1+18, "")</f>
        <v>41382</v>
      </c>
      <c r="P6" s="61">
        <f>IF(AND(YEAR(AprSun1+19)=$A$1,MONTH(AprSun1+19)=4),AprSun1+19, "")</f>
        <v>41383</v>
      </c>
      <c r="Q6" s="61">
        <f>IF(AND(YEAR(AprSun1+20)=$A$1,MONTH(AprSun1+20)=4),AprSun1+20, "")</f>
        <v>41384</v>
      </c>
      <c r="S6" s="61">
        <f>IF(AND(YEAR(JulSun1+14)=$A$1,MONTH(JulSun1+14)=7),JulSun1+14, "")</f>
        <v>41469</v>
      </c>
      <c r="T6" s="61">
        <f>IF(AND(YEAR(JulSun1+15)=$A$1,MONTH(JulSun1+15)=7),JulSun1+15, "")</f>
        <v>41470</v>
      </c>
      <c r="U6" s="61">
        <f>IF(AND(YEAR(JulSun1+16)=$A$1,MONTH(JulSun1+16)=7),JulSun1+16, "")</f>
        <v>41471</v>
      </c>
      <c r="V6" s="61">
        <f>IF(AND(YEAR(JulSun1+17)=$A$1,MONTH(JulSun1+17)=7),JulSun1+17, "")</f>
        <v>41472</v>
      </c>
      <c r="W6" s="61">
        <f>IF(AND(YEAR(JulSun1+18)=$A$1,MONTH(JulSun1+18)=7),JulSun1+18, "")</f>
        <v>41473</v>
      </c>
      <c r="X6" s="61">
        <f>IF(AND(YEAR(JulSun1+19)=$A$1,MONTH(JulSun1+19)=7),JulSun1+19, "")</f>
        <v>41474</v>
      </c>
      <c r="Y6" s="61">
        <f>IF(AND(YEAR(JulSun1+20)=$A$1,MONTH(JulSun1+20)=7),JulSun1+20, "")</f>
        <v>41475</v>
      </c>
      <c r="AA6" s="61">
        <f>IF(AND(YEAR(OctSun1+14)=$A$1,MONTH(OctSun1+14)=10),OctSun1+14, "")</f>
        <v>41560</v>
      </c>
      <c r="AB6" s="61">
        <f>IF(AND(YEAR(OctSun1+15)=$A$1,MONTH(OctSun1+15)=10),OctSun1+15, "")</f>
        <v>41561</v>
      </c>
      <c r="AC6" s="61">
        <f>IF(AND(YEAR(OctSun1+16)=$A$1,MONTH(OctSun1+16)=10),OctSun1+16, "")</f>
        <v>41562</v>
      </c>
      <c r="AD6" s="61">
        <f>IF(AND(YEAR(OctSun1+17)=$A$1,MONTH(OctSun1+17)=10),OctSun1+17, "")</f>
        <v>41563</v>
      </c>
      <c r="AE6" s="61">
        <f>IF(AND(YEAR(OctSun1+18)=$A$1,MONTH(OctSun1+18)=10),OctSun1+18, "")</f>
        <v>41564</v>
      </c>
      <c r="AF6" s="61">
        <f>IF(AND(YEAR(OctSun1+19)=$A$1,MONTH(OctSun1+19)=10),OctSun1+19, "")</f>
        <v>41565</v>
      </c>
      <c r="AG6" s="61">
        <f>IF(AND(YEAR(OctSun1+20)=$A$1,MONTH(OctSun1+20)=10),OctSun1+20, "")</f>
        <v>41566</v>
      </c>
    </row>
    <row r="7" spans="1:37" ht="15.95" customHeight="1" x14ac:dyDescent="0.2">
      <c r="C7" s="61">
        <f>IF(AND(YEAR(JanSun1+21)=$A$1,MONTH(JanSun1+21)=1),JanSun1+21, "")</f>
        <v>41294</v>
      </c>
      <c r="D7" s="61">
        <f>IF(AND(YEAR(JanSun1+22)=$A$1,MONTH(JanSun1+22)=1),JanSun1+22, "")</f>
        <v>41295</v>
      </c>
      <c r="E7" s="61">
        <f>IF(AND(YEAR(JanSun1+23)=$A$1,MONTH(JanSun1+23)=1),JanSun1+23, "")</f>
        <v>41296</v>
      </c>
      <c r="F7" s="61">
        <f>IF(AND(YEAR(JanSun1+24)=$A$1,MONTH(JanSun1+24)=1),JanSun1+24, "")</f>
        <v>41297</v>
      </c>
      <c r="G7" s="61">
        <f>IF(AND(YEAR(JanSun1+25)=$A$1,MONTH(JanSun1+25)=1),JanSun1+25, "")</f>
        <v>41298</v>
      </c>
      <c r="H7" s="61">
        <f>IF(AND(YEAR(JanSun1+26)=$A$1,MONTH(JanSun1+26)=1),JanSun1+26, "")</f>
        <v>41299</v>
      </c>
      <c r="I7" s="61">
        <f>IF(AND(YEAR(JanSun1+27)=$A$1,MONTH(JanSun1+27)=1),JanSun1+27, "")</f>
        <v>41300</v>
      </c>
      <c r="K7" s="61">
        <f>IF(AND(YEAR(AprSun1+21)=$A$1,MONTH(AprSun1+21)=4),AprSun1+21, "")</f>
        <v>41385</v>
      </c>
      <c r="L7" s="61">
        <f>IF(AND(YEAR(AprSun1+22)=$A$1,MONTH(AprSun1+22)=4),AprSun1+22, "")</f>
        <v>41386</v>
      </c>
      <c r="M7" s="70">
        <f>IF(AND(YEAR(AprSun1+23)=$A$1,MONTH(AprSun1+23)=4),AprSun1+23, "")</f>
        <v>41387</v>
      </c>
      <c r="N7" s="70">
        <f>IF(AND(YEAR(AprSun1+24)=$A$1,MONTH(AprSun1+24)=4),AprSun1+24, "")</f>
        <v>41388</v>
      </c>
      <c r="O7" s="61">
        <f>IF(AND(YEAR(AprSun1+25)=$A$1,MONTH(AprSun1+25)=4),AprSun1+25, "")</f>
        <v>41389</v>
      </c>
      <c r="P7" s="61">
        <f>IF(AND(YEAR(AprSun1+26)=$A$1,MONTH(AprSun1+26)=4),AprSun1+26, "")</f>
        <v>41390</v>
      </c>
      <c r="Q7" s="61">
        <f>IF(AND(YEAR(AprSun1+27)=$A$1,MONTH(AprSun1+27)=4),AprSun1+27, "")</f>
        <v>41391</v>
      </c>
      <c r="S7" s="61">
        <f>IF(AND(YEAR(JulSun1+21)=$A$1,MONTH(JulSun1+21)=7),JulSun1+21, "")</f>
        <v>41476</v>
      </c>
      <c r="T7" s="61">
        <f>IF(AND(YEAR(JulSun1+22)=$A$1,MONTH(JulSun1+22)=7),JulSun1+22, "")</f>
        <v>41477</v>
      </c>
      <c r="U7" s="61">
        <f>IF(AND(YEAR(JulSun1+23)=$A$1,MONTH(JulSun1+23)=7),JulSun1+23, "")</f>
        <v>41478</v>
      </c>
      <c r="V7" s="61">
        <f>IF(AND(YEAR(JulSun1+24)=$A$1,MONTH(JulSun1+24)=7),JulSun1+24, "")</f>
        <v>41479</v>
      </c>
      <c r="W7" s="61">
        <f>IF(AND(YEAR(JulSun1+25)=$A$1,MONTH(JulSun1+25)=7),JulSun1+25, "")</f>
        <v>41480</v>
      </c>
      <c r="X7" s="61">
        <f>IF(AND(YEAR(JulSun1+26)=$A$1,MONTH(JulSun1+26)=7),JulSun1+26, "")</f>
        <v>41481</v>
      </c>
      <c r="Y7" s="61">
        <f>IF(AND(YEAR(JulSun1+27)=$A$1,MONTH(JulSun1+27)=7),JulSun1+27, "")</f>
        <v>41482</v>
      </c>
      <c r="AA7" s="61">
        <f>IF(AND(YEAR(OctSun1+21)=$A$1,MONTH(OctSun1+21)=10),OctSun1+21, "")</f>
        <v>41567</v>
      </c>
      <c r="AB7" s="61">
        <f>IF(AND(YEAR(OctSun1+22)=$A$1,MONTH(OctSun1+22)=10),OctSun1+22, "")</f>
        <v>41568</v>
      </c>
      <c r="AC7" s="61">
        <f>IF(AND(YEAR(OctSun1+23)=$A$1,MONTH(OctSun1+23)=10),OctSun1+23, "")</f>
        <v>41569</v>
      </c>
      <c r="AD7" s="61">
        <f>IF(AND(YEAR(OctSun1+24)=$A$1,MONTH(OctSun1+24)=10),OctSun1+24, "")</f>
        <v>41570</v>
      </c>
      <c r="AE7" s="61">
        <f>IF(AND(YEAR(OctSun1+25)=$A$1,MONTH(OctSun1+25)=10),OctSun1+25, "")</f>
        <v>41571</v>
      </c>
      <c r="AF7" s="61">
        <f>IF(AND(YEAR(OctSun1+26)=$A$1,MONTH(OctSun1+26)=10),OctSun1+26, "")</f>
        <v>41572</v>
      </c>
      <c r="AG7" s="61">
        <f>IF(AND(YEAR(OctSun1+27)=$A$1,MONTH(OctSun1+27)=10),OctSun1+27, "")</f>
        <v>41573</v>
      </c>
    </row>
    <row r="8" spans="1:37" ht="15.95" customHeight="1" x14ac:dyDescent="0.2">
      <c r="C8" s="61">
        <f>IF(AND(YEAR(JanSun1+28)=$A$1,MONTH(JanSun1+28)=1),JanSun1+28, "")</f>
        <v>41301</v>
      </c>
      <c r="D8" s="61">
        <f>IF(AND(YEAR(JanSun1+29)=$A$1,MONTH(JanSun1+29)=1),JanSun1+29, "")</f>
        <v>41302</v>
      </c>
      <c r="E8" s="61">
        <f>IF(AND(YEAR(JanSun1+30)=$A$1,MONTH(JanSun1+30)=1),JanSun1+30, "")</f>
        <v>41303</v>
      </c>
      <c r="F8" s="61">
        <f>IF(AND(YEAR(JanSun1+31)=$A$1,MONTH(JanSun1+31)=1),JanSun1+31, "")</f>
        <v>41304</v>
      </c>
      <c r="G8" s="61">
        <f>IF(AND(YEAR(JanSun1+32)=$A$1,MONTH(JanSun1+32)=1),JanSun1+32, "")</f>
        <v>41305</v>
      </c>
      <c r="H8" s="61" t="str">
        <f>IF(AND(YEAR(JanSun1+33)=$A$1,MONTH(JanSun1+33)=1),JanSun1+33, "")</f>
        <v/>
      </c>
      <c r="I8" s="61" t="str">
        <f>IF(AND(YEAR(JanSun1+34)=$A$1,MONTH(JanSun1+34)=1),JanSun1+34, "")</f>
        <v/>
      </c>
      <c r="K8" s="61">
        <f>IF(AND(YEAR(AprSun1+28)=$A$1,MONTH(AprSun1+28)=4),AprSun1+28, "")</f>
        <v>41392</v>
      </c>
      <c r="L8" s="61">
        <f>IF(AND(YEAR(AprSun1+29)=$A$1,MONTH(AprSun1+29)=4),AprSun1+29, "")</f>
        <v>41393</v>
      </c>
      <c r="M8" s="61">
        <f>IF(AND(YEAR(AprSun1+30)=$A$1,MONTH(AprSun1+30)=4),AprSun1+30, "")</f>
        <v>41394</v>
      </c>
      <c r="N8" s="61" t="str">
        <f>IF(AND(YEAR(AprSun1+31)=$A$1,MONTH(AprSun1+31)=4),AprSun1+31, "")</f>
        <v/>
      </c>
      <c r="O8" s="61" t="str">
        <f>IF(AND(YEAR(AprSun1+32)=$A$1,MONTH(AprSun1+32)=4),AprSun1+32, "")</f>
        <v/>
      </c>
      <c r="P8" s="61" t="str">
        <f>IF(AND(YEAR(AprSun1+33)=$A$1,MONTH(AprSun1+33)=4),AprSun1+33, "")</f>
        <v/>
      </c>
      <c r="Q8" s="61" t="str">
        <f>IF(AND(YEAR(AprSun1+34)=$A$1,MONTH(AprSun1+34)=4),AprSun1+34, "")</f>
        <v/>
      </c>
      <c r="S8" s="61">
        <f>IF(AND(YEAR(JulSun1+28)=$A$1,MONTH(JulSun1+28)=7),JulSun1+28, "")</f>
        <v>41483</v>
      </c>
      <c r="T8" s="61">
        <f>IF(AND(YEAR(JulSun1+29)=$A$1,MONTH(JulSun1+29)=7),JulSun1+29, "")</f>
        <v>41484</v>
      </c>
      <c r="U8" s="61">
        <f>IF(AND(YEAR(JulSun1+30)=$A$1,MONTH(JulSun1+30)=7),JulSun1+30, "")</f>
        <v>41485</v>
      </c>
      <c r="V8" s="61">
        <f>IF(AND(YEAR(JulSun1+31)=$A$1,MONTH(JulSun1+31)=7),JulSun1+31, "")</f>
        <v>41486</v>
      </c>
      <c r="W8" s="61" t="str">
        <f>IF(AND(YEAR(JulSun1+32)=$A$1,MONTH(JulSun1+32)=7),JulSun1+32, "")</f>
        <v/>
      </c>
      <c r="X8" s="61" t="str">
        <f>IF(AND(YEAR(JulSun1+33)=$A$1,MONTH(JulSun1+33)=7),JulSun1+33, "")</f>
        <v/>
      </c>
      <c r="Y8" s="61" t="str">
        <f>IF(AND(YEAR(JulSun1+34)=$A$1,MONTH(JulSun1+34)=7),JulSun1+34, "")</f>
        <v/>
      </c>
      <c r="AA8" s="61">
        <f>IF(AND(YEAR(OctSun1+28)=$A$1,MONTH(OctSun1+28)=10),OctSun1+28, "")</f>
        <v>41574</v>
      </c>
      <c r="AB8" s="61">
        <f>IF(AND(YEAR(OctSun1+29)=$A$1,MONTH(OctSun1+29)=10),OctSun1+29, "")</f>
        <v>41575</v>
      </c>
      <c r="AC8" s="61">
        <f>IF(AND(YEAR(OctSun1+30)=$A$1,MONTH(OctSun1+30)=10),OctSun1+30, "")</f>
        <v>41576</v>
      </c>
      <c r="AD8" s="61">
        <f>IF(AND(YEAR(OctSun1+31)=$A$1,MONTH(OctSun1+31)=10),OctSun1+31, "")</f>
        <v>41577</v>
      </c>
      <c r="AE8" s="61">
        <f>IF(AND(YEAR(OctSun1+32)=$A$1,MONTH(OctSun1+32)=10),OctSun1+32, "")</f>
        <v>41578</v>
      </c>
      <c r="AF8" s="61" t="str">
        <f>IF(AND(YEAR(OctSun1+33)=$A$1,MONTH(OctSun1+33)=10),OctSun1+33, "")</f>
        <v/>
      </c>
      <c r="AG8" s="61" t="str">
        <f>IF(AND(YEAR(OctSun1+34)=$A$1,MONTH(OctSun1+34)=10),OctSun1+34, "")</f>
        <v/>
      </c>
    </row>
    <row r="9" spans="1:37" ht="15.95" customHeight="1" x14ac:dyDescent="0.2">
      <c r="C9" s="62" t="str">
        <f>IF(AND(YEAR(JanSun1+35)=$A$1,MONTH(JanSun1+35)=1),JanSun1+35, "")</f>
        <v/>
      </c>
      <c r="D9" s="62" t="str">
        <f>IF(AND(YEAR(JanSun1+36)=$A$1,MONTH(JanSun1+36)=1),JanSun1+36, "")</f>
        <v/>
      </c>
      <c r="E9" s="62" t="str">
        <f>IF(AND(YEAR(JanSun1+37)=$A$1,MONTH(JanSun1+37)=1),JanSun1+37, "")</f>
        <v/>
      </c>
      <c r="F9" s="62" t="str">
        <f>IF(AND(YEAR(JanSun1+38)=$A$1,MONTH(JanSun1+38)=1),JanSun1+38, "")</f>
        <v/>
      </c>
      <c r="G9" s="62" t="str">
        <f>IF(AND(YEAR(JanSun1+39)=$A$1,MONTH(JanSun1+39)=1),JanSun1+39, "")</f>
        <v/>
      </c>
      <c r="H9" s="62" t="str">
        <f>IF(AND(YEAR(JanSun1+40)=$A$1,MONTH(JanSun1+40)=1),JanSun1+40, "")</f>
        <v/>
      </c>
      <c r="I9" s="62" t="str">
        <f>IF(AND(YEAR(JanSun1+41)=$A$1,MONTH(JanSun1+41)=1),JanSun1+41, "")</f>
        <v/>
      </c>
      <c r="K9" s="62" t="str">
        <f>IF(AND(YEAR(AprSun1+35)=$A$1,MONTH(AprSun1+35)=4),AprSun1+35, "")</f>
        <v/>
      </c>
      <c r="L9" s="62" t="str">
        <f>IF(AND(YEAR(AprSun1+36)=$A$1,MONTH(AprSun1+36)=4),AprSun1+36, "")</f>
        <v/>
      </c>
      <c r="M9" s="62" t="str">
        <f>IF(AND(YEAR(AprSun1+37)=$A$1,MONTH(AprSun1+37)=4),AprSun1+37, "")</f>
        <v/>
      </c>
      <c r="N9" s="62" t="str">
        <f>IF(AND(YEAR(AprSun1+38)=$A$1,MONTH(AprSun1+38)=4),AprSun1+38, "")</f>
        <v/>
      </c>
      <c r="O9" s="62" t="str">
        <f>IF(AND(YEAR(AprSun1+39)=$A$1,MONTH(AprSun1+39)=4),AprSun1+39, "")</f>
        <v/>
      </c>
      <c r="P9" s="62" t="str">
        <f>IF(AND(YEAR(AprSun1+40)=$A$1,MONTH(AprSun1+40)=4),AprSun1+40, "")</f>
        <v/>
      </c>
      <c r="Q9" s="62" t="str">
        <f>IF(AND(YEAR(AprSun1+41)=$A$1,MONTH(AprSun1+41)=4),AprSun1+41, "")</f>
        <v/>
      </c>
      <c r="S9" s="62" t="str">
        <f>IF(AND(YEAR(JulSun1+35)=$A$1,MONTH(JulSun1+35)=7),JulSun1+35, "")</f>
        <v/>
      </c>
      <c r="T9" s="62" t="str">
        <f>IF(AND(YEAR(JulSun1+36)=$A$1,MONTH(JulSun1+36)=7),JulSun1+36, "")</f>
        <v/>
      </c>
      <c r="U9" s="62" t="str">
        <f>IF(AND(YEAR(JulSun1+37)=$A$1,MONTH(JulSun1+37)=7),JulSun1+37, "")</f>
        <v/>
      </c>
      <c r="V9" s="62" t="str">
        <f>IF(AND(YEAR(JulSun1+38)=$A$1,MONTH(JulSun1+38)=7),JulSun1+38, "")</f>
        <v/>
      </c>
      <c r="W9" s="62" t="str">
        <f>IF(AND(YEAR(JulSun1+39)=$A$1,MONTH(JulSun1+39)=7),JulSun1+39, "")</f>
        <v/>
      </c>
      <c r="X9" s="62" t="str">
        <f>IF(AND(YEAR(JulSun1+40)=$A$1,MONTH(JulSun1+40)=7),JulSun1+40, "")</f>
        <v/>
      </c>
      <c r="Y9" s="62" t="str">
        <f>IF(AND(YEAR(JulSun1+41)=$A$1,MONTH(JulSun1+41)=7),JulSun1+41, "")</f>
        <v/>
      </c>
      <c r="AA9" s="62" t="str">
        <f>IF(AND(YEAR(OctSun1+35)=$A$1,MONTH(OctSun1+35)=10),OctSun1+35, "")</f>
        <v/>
      </c>
      <c r="AB9" s="62" t="str">
        <f>IF(AND(YEAR(OctSun1+36)=$A$1,MONTH(OctSun1+36)=10),OctSun1+36, "")</f>
        <v/>
      </c>
      <c r="AC9" s="62" t="str">
        <f>IF(AND(YEAR(OctSun1+37)=$A$1,MONTH(OctSun1+37)=10),OctSun1+37, "")</f>
        <v/>
      </c>
      <c r="AD9" s="62" t="str">
        <f>IF(AND(YEAR(OctSun1+38)=$A$1,MONTH(OctSun1+38)=10),OctSun1+38, "")</f>
        <v/>
      </c>
      <c r="AE9" s="62" t="str">
        <f>IF(AND(YEAR(OctSun1+39)=$A$1,MONTH(OctSun1+39)=10),OctSun1+39, "")</f>
        <v/>
      </c>
      <c r="AF9" s="62" t="str">
        <f>IF(AND(YEAR(OctSun1+40)=$A$1,MONTH(OctSun1+40)=10),OctSun1+40, "")</f>
        <v/>
      </c>
      <c r="AG9" s="62" t="str">
        <f>IF(AND(YEAR(OctSun1+41)=$A$1,MONTH(OctSun1+41)=10),OctSun1+41, "")</f>
        <v/>
      </c>
    </row>
    <row r="10" spans="1:37" ht="15.95" customHeight="1" x14ac:dyDescent="0.2">
      <c r="B10" s="63"/>
      <c r="C10" s="64"/>
      <c r="D10" s="64"/>
      <c r="E10" s="64"/>
      <c r="F10" s="64"/>
      <c r="G10" s="64"/>
      <c r="H10" s="64"/>
      <c r="I10" s="64"/>
      <c r="J10" s="63"/>
      <c r="K10" s="64"/>
      <c r="L10" s="64"/>
      <c r="M10" s="64"/>
      <c r="N10" s="64"/>
      <c r="O10" s="64"/>
      <c r="P10" s="64"/>
      <c r="Q10" s="64"/>
      <c r="R10" s="63"/>
      <c r="S10" s="64"/>
      <c r="T10" s="64"/>
      <c r="U10" s="64"/>
      <c r="V10" s="64"/>
      <c r="W10" s="64"/>
      <c r="X10" s="64"/>
      <c r="Y10" s="64"/>
      <c r="Z10" s="63"/>
      <c r="AA10" s="64"/>
      <c r="AB10" s="64"/>
      <c r="AC10" s="64"/>
      <c r="AD10" s="64"/>
      <c r="AE10" s="64"/>
      <c r="AF10" s="64"/>
      <c r="AG10" s="64"/>
      <c r="AH10" s="63"/>
    </row>
    <row r="11" spans="1:37" ht="15.95" customHeight="1" x14ac:dyDescent="0.2">
      <c r="C11" s="162" t="s">
        <v>80</v>
      </c>
      <c r="D11" s="163"/>
      <c r="E11" s="163"/>
      <c r="F11" s="163"/>
      <c r="G11" s="163"/>
      <c r="H11" s="163"/>
      <c r="I11" s="164"/>
      <c r="K11" s="162" t="s">
        <v>81</v>
      </c>
      <c r="L11" s="163"/>
      <c r="M11" s="163"/>
      <c r="N11" s="163"/>
      <c r="O11" s="163"/>
      <c r="P11" s="163"/>
      <c r="Q11" s="164"/>
      <c r="S11" s="162" t="s">
        <v>82</v>
      </c>
      <c r="T11" s="163"/>
      <c r="U11" s="163"/>
      <c r="V11" s="163"/>
      <c r="W11" s="163"/>
      <c r="X11" s="163"/>
      <c r="Y11" s="164"/>
      <c r="AA11" s="162" t="s">
        <v>83</v>
      </c>
      <c r="AB11" s="163"/>
      <c r="AC11" s="163"/>
      <c r="AD11" s="163"/>
      <c r="AE11" s="163"/>
      <c r="AF11" s="163"/>
      <c r="AG11" s="164"/>
    </row>
    <row r="12" spans="1:37" ht="15.95" customHeight="1" x14ac:dyDescent="0.2">
      <c r="B12" s="59"/>
      <c r="C12" s="60" t="s">
        <v>75</v>
      </c>
      <c r="D12" s="60" t="s">
        <v>76</v>
      </c>
      <c r="E12" s="60" t="s">
        <v>77</v>
      </c>
      <c r="F12" s="60" t="s">
        <v>78</v>
      </c>
      <c r="G12" s="60" t="s">
        <v>77</v>
      </c>
      <c r="H12" s="60" t="s">
        <v>79</v>
      </c>
      <c r="I12" s="60" t="s">
        <v>75</v>
      </c>
      <c r="K12" s="60" t="s">
        <v>75</v>
      </c>
      <c r="L12" s="60" t="s">
        <v>76</v>
      </c>
      <c r="M12" s="60" t="s">
        <v>77</v>
      </c>
      <c r="N12" s="60" t="s">
        <v>78</v>
      </c>
      <c r="O12" s="60" t="s">
        <v>77</v>
      </c>
      <c r="P12" s="60" t="s">
        <v>79</v>
      </c>
      <c r="Q12" s="60" t="s">
        <v>75</v>
      </c>
      <c r="S12" s="60" t="s">
        <v>75</v>
      </c>
      <c r="T12" s="60" t="s">
        <v>76</v>
      </c>
      <c r="U12" s="60" t="s">
        <v>77</v>
      </c>
      <c r="V12" s="60" t="s">
        <v>78</v>
      </c>
      <c r="W12" s="60" t="s">
        <v>77</v>
      </c>
      <c r="X12" s="60" t="s">
        <v>79</v>
      </c>
      <c r="Y12" s="60" t="s">
        <v>75</v>
      </c>
      <c r="AA12" s="60" t="s">
        <v>75</v>
      </c>
      <c r="AB12" s="60" t="s">
        <v>76</v>
      </c>
      <c r="AC12" s="60" t="s">
        <v>77</v>
      </c>
      <c r="AD12" s="60" t="s">
        <v>78</v>
      </c>
      <c r="AE12" s="60" t="s">
        <v>77</v>
      </c>
      <c r="AF12" s="60" t="s">
        <v>79</v>
      </c>
      <c r="AG12" s="60" t="s">
        <v>75</v>
      </c>
    </row>
    <row r="13" spans="1:37" ht="15.95" customHeight="1" x14ac:dyDescent="0.2">
      <c r="C13" s="61" t="str">
        <f>IF(AND(YEAR(FebSun1)=$A$1,MONTH(FebSun1)=2),FebSun1, "")</f>
        <v/>
      </c>
      <c r="D13" s="61" t="str">
        <f>IF(AND(YEAR(FebSun1+1)=$A$1,MONTH(FebSun1+1)=2),FebSun1+1, "")</f>
        <v/>
      </c>
      <c r="E13" s="61" t="str">
        <f>IF(AND(YEAR(FebSun1+2)=$A$1,MONTH(FebSun1+2)=2),FebSun1+2, "")</f>
        <v/>
      </c>
      <c r="F13" s="61" t="str">
        <f>IF(AND(YEAR(FebSun1+3)=$A$1,MONTH(FebSun1+3)=2),FebSun1+3, "")</f>
        <v/>
      </c>
      <c r="G13" s="61" t="str">
        <f>IF(AND(YEAR(FebSun1+4)=$A$1,MONTH(FebSun1+4)=2),FebSun1+4, "")</f>
        <v/>
      </c>
      <c r="H13" s="61">
        <f>IF(AND(YEAR(FebSun1+5)=$A$1,MONTH(FebSun1+5)=2),FebSun1+5, "")</f>
        <v>41306</v>
      </c>
      <c r="I13" s="61">
        <f>IF(AND(YEAR(FebSun1+6)=$A$1,MONTH(FebSun1+6)=2),FebSun1+6, "")</f>
        <v>41307</v>
      </c>
      <c r="K13" s="61" t="str">
        <f>IF(AND(YEAR(MaySun1)=$A$1,MONTH(MaySun1)=5),MaySun1, "")</f>
        <v/>
      </c>
      <c r="L13" s="61" t="str">
        <f>IF(AND(YEAR(MaySun1+1)=$A$1,MONTH(MaySun1+1)=5),MaySun1+1, "")</f>
        <v/>
      </c>
      <c r="M13" s="61" t="str">
        <f>IF(AND(YEAR(MaySun1+2)=$A$1,MONTH(MaySun1+2)=5),MaySun1+2, "")</f>
        <v/>
      </c>
      <c r="N13" s="61">
        <f>IF(AND(YEAR(MaySun1+3)=$A$1,MONTH(MaySun1+3)=5),MaySun1+3, "")</f>
        <v>41395</v>
      </c>
      <c r="O13" s="61">
        <f>IF(AND(YEAR(MaySun1+4)=$A$1,MONTH(MaySun1+4)=5),MaySun1+4, "")</f>
        <v>41396</v>
      </c>
      <c r="P13" s="61">
        <f>IF(AND(YEAR(MaySun1+5)=$A$1,MONTH(MaySun1+5)=5),MaySun1+5, "")</f>
        <v>41397</v>
      </c>
      <c r="Q13" s="61">
        <f>IF(AND(YEAR(MaySun1+6)=$A$1,MONTH(MaySun1+6)=5),MaySun1+6, "")</f>
        <v>41398</v>
      </c>
      <c r="S13" s="61" t="str">
        <f>IF(AND(YEAR(AugSun1)=$A$1,MONTH(AugSun1)=8),AugSun1, "")</f>
        <v/>
      </c>
      <c r="T13" s="61" t="str">
        <f>IF(AND(YEAR(AugSun1+1)=$A$1,MONTH(AugSun1+1)=8),AugSun1+1, "")</f>
        <v/>
      </c>
      <c r="U13" s="61" t="str">
        <f>IF(AND(YEAR(AugSun1+2)=$A$1,MONTH(AugSun1+2)=8),AugSun1+2, "")</f>
        <v/>
      </c>
      <c r="V13" s="61" t="str">
        <f>IF(AND(YEAR(AugSun1+3)=$A$1,MONTH(AugSun1+3)=8),AugSun1+3, "")</f>
        <v/>
      </c>
      <c r="W13" s="61">
        <f>IF(AND(YEAR(AugSun1+4)=$A$1,MONTH(AugSun1+4)=8),AugSun1+4, "")</f>
        <v>41487</v>
      </c>
      <c r="X13" s="61">
        <f>IF(AND(YEAR(AugSun1+5)=$A$1,MONTH(AugSun1+5)=8),AugSun1+5, "")</f>
        <v>41488</v>
      </c>
      <c r="Y13" s="61">
        <f>IF(AND(YEAR(AugSun1+6)=$A$1,MONTH(AugSun1+6)=8),AugSun1+6, "")</f>
        <v>41489</v>
      </c>
      <c r="AA13" s="61" t="str">
        <f>IF(AND(YEAR(NovSun1)=$A$1,MONTH(NovSun1)=11),NovSun1, "")</f>
        <v/>
      </c>
      <c r="AB13" s="61" t="str">
        <f>IF(AND(YEAR(NovSun1+1)=$A$1,MONTH(NovSun1+1)=11),NovSun1+1, "")</f>
        <v/>
      </c>
      <c r="AC13" s="61" t="str">
        <f>IF(AND(YEAR(NovSun1+2)=$A$1,MONTH(NovSun1+2)=11),NovSun1+2, "")</f>
        <v/>
      </c>
      <c r="AD13" s="61" t="str">
        <f>IF(AND(YEAR(NovSun1+3)=$A$1,MONTH(NovSun1+3)=11),NovSun1+3, "")</f>
        <v/>
      </c>
      <c r="AE13" s="61" t="str">
        <f>IF(AND(YEAR(NovSun1+4)=$A$1,MONTH(NovSun1+4)=11),NovSun1+4, "")</f>
        <v/>
      </c>
      <c r="AF13" s="61">
        <f>IF(AND(YEAR(NovSun1+5)=$A$1,MONTH(NovSun1+5)=11),NovSun1+5, "")</f>
        <v>41579</v>
      </c>
      <c r="AG13" s="61">
        <f>IF(AND(YEAR(NovSun1+6)=$A$1,MONTH(NovSun1+6)=11),NovSun1+6, "")</f>
        <v>41580</v>
      </c>
    </row>
    <row r="14" spans="1:37" ht="15.95" customHeight="1" x14ac:dyDescent="0.2">
      <c r="C14" s="61">
        <f>IF(AND(YEAR(FebSun1+7)=$A$1,MONTH(FebSun1+7)=2),FebSun1+7, "")</f>
        <v>41308</v>
      </c>
      <c r="D14" s="61">
        <f>IF(AND(YEAR(FebSun1+8)=$A$1,MONTH(FebSun1+8)=2),FebSun1+8, "")</f>
        <v>41309</v>
      </c>
      <c r="E14" s="61">
        <f>IF(AND(YEAR(FebSun1+9)=$A$1,MONTH(FebSun1+9)=2),FebSun1+9, "")</f>
        <v>41310</v>
      </c>
      <c r="F14" s="61">
        <f>IF(AND(YEAR(FebSun1+10)=$A$1,MONTH(FebSun1+10)=2),FebSun1+10, "")</f>
        <v>41311</v>
      </c>
      <c r="G14" s="61">
        <f>IF(AND(YEAR(FebSun1+11)=$A$1,MONTH(FebSun1+11)=2),FebSun1+11, "")</f>
        <v>41312</v>
      </c>
      <c r="H14" s="61">
        <f>IF(AND(YEAR(FebSun1+12)=$A$1,MONTH(FebSun1+12)=2),FebSun1+12, "")</f>
        <v>41313</v>
      </c>
      <c r="I14" s="61">
        <f>IF(AND(YEAR(FebSun1+13)=$A$1,MONTH(FebSun1+13)=2),FebSun1+13, "")</f>
        <v>41314</v>
      </c>
      <c r="K14" s="61">
        <f>IF(AND(YEAR(MaySun1+7)=$A$1,MONTH(MaySun1+7)=5),MaySun1+7, "")</f>
        <v>41399</v>
      </c>
      <c r="L14" s="61">
        <f>IF(AND(YEAR(MaySun1+8)=$A$1,MONTH(MaySun1+8)=5),MaySun1+8, "")</f>
        <v>41400</v>
      </c>
      <c r="M14" s="61">
        <f>IF(AND(YEAR(MaySun1+9)=$A$1,MONTH(MaySun1+9)=5),MaySun1+9, "")</f>
        <v>41401</v>
      </c>
      <c r="N14" s="61">
        <f>IF(AND(YEAR(MaySun1+10)=$A$1,MONTH(MaySun1+10)=5),MaySun1+10, "")</f>
        <v>41402</v>
      </c>
      <c r="O14" s="61">
        <f>IF(AND(YEAR(MaySun1+11)=$A$1,MONTH(MaySun1+11)=5),MaySun1+11, "")</f>
        <v>41403</v>
      </c>
      <c r="P14" s="61">
        <f>IF(AND(YEAR(MaySun1+12)=$A$1,MONTH(MaySun1+12)=5),MaySun1+12, "")</f>
        <v>41404</v>
      </c>
      <c r="Q14" s="61">
        <f>IF(AND(YEAR(MaySun1+13)=$A$1,MONTH(MaySun1+13)=5),MaySun1+13, "")</f>
        <v>41405</v>
      </c>
      <c r="S14" s="61">
        <f>IF(AND(YEAR(AugSun1+7)=$A$1,MONTH(AugSun1+7)=8),AugSun1+7, "")</f>
        <v>41490</v>
      </c>
      <c r="T14" s="61">
        <f>IF(AND(YEAR(AugSun1+8)=$A$1,MONTH(AugSun1+8)=8),AugSun1+8, "")</f>
        <v>41491</v>
      </c>
      <c r="U14" s="61">
        <f>IF(AND(YEAR(AugSun1+9)=$A$1,MONTH(AugSun1+9)=8),AugSun1+9, "")</f>
        <v>41492</v>
      </c>
      <c r="V14" s="61">
        <f>IF(AND(YEAR(AugSun1+10)=$A$1,MONTH(AugSun1+10)=8),AugSun1+10, "")</f>
        <v>41493</v>
      </c>
      <c r="W14" s="61">
        <f>IF(AND(YEAR(AugSun1+11)=$A$1,MONTH(AugSun1+11)=8),AugSun1+11, "")</f>
        <v>41494</v>
      </c>
      <c r="X14" s="61">
        <f>IF(AND(YEAR(AugSun1+12)=$A$1,MONTH(AugSun1+12)=8),AugSun1+12, "")</f>
        <v>41495</v>
      </c>
      <c r="Y14" s="61">
        <f>IF(AND(YEAR(AugSun1+13)=$A$1,MONTH(AugSun1+13)=8),AugSun1+13, "")</f>
        <v>41496</v>
      </c>
      <c r="AA14" s="61">
        <f>IF(AND(YEAR(NovSun1+7)=$A$1,MONTH(NovSun1+7)=11),NovSun1+7, "")</f>
        <v>41581</v>
      </c>
      <c r="AB14" s="61">
        <f>IF(AND(YEAR(NovSun1+8)=$A$1,MONTH(NovSun1+8)=11),NovSun1+8, "")</f>
        <v>41582</v>
      </c>
      <c r="AC14" s="61">
        <f>IF(AND(YEAR(NovSun1+9)=$A$1,MONTH(NovSun1+9)=11),NovSun1+9, "")</f>
        <v>41583</v>
      </c>
      <c r="AD14" s="61">
        <f>IF(AND(YEAR(NovSun1+10)=$A$1,MONTH(NovSun1+10)=11),NovSun1+10, "")</f>
        <v>41584</v>
      </c>
      <c r="AE14" s="61">
        <f>IF(AND(YEAR(NovSun1+11)=$A$1,MONTH(NovSun1+11)=11),NovSun1+11, "")</f>
        <v>41585</v>
      </c>
      <c r="AF14" s="61">
        <f>IF(AND(YEAR(NovSun1+12)=$A$1,MONTH(NovSun1+12)=11),NovSun1+12, "")</f>
        <v>41586</v>
      </c>
      <c r="AG14" s="61">
        <f>IF(AND(YEAR(NovSun1+13)=$A$1,MONTH(NovSun1+13)=11),NovSun1+13, "")</f>
        <v>41587</v>
      </c>
    </row>
    <row r="15" spans="1:37" ht="15.95" customHeight="1" x14ac:dyDescent="0.2">
      <c r="C15" s="61">
        <f>IF(AND(YEAR(FebSun1+14)=$A$1,MONTH(FebSun1+14)=2),FebSun1+14, "")</f>
        <v>41315</v>
      </c>
      <c r="D15" s="61">
        <f>IF(AND(YEAR(FebSun1+15)=$A$1,MONTH(FebSun1+15)=2),FebSun1+15, "")</f>
        <v>41316</v>
      </c>
      <c r="E15" s="61">
        <f>IF(AND(YEAR(FebSun1+16)=$A$1,MONTH(FebSun1+16)=2),FebSun1+16, "")</f>
        <v>41317</v>
      </c>
      <c r="F15" s="61">
        <f>IF(AND(YEAR(FebSun1+17)=$A$1,MONTH(FebSun1+17)=2),FebSun1+17, "")</f>
        <v>41318</v>
      </c>
      <c r="G15" s="61">
        <f>IF(AND(YEAR(FebSun1+18)=$A$1,MONTH(FebSun1+18)=2),FebSun1+18, "")</f>
        <v>41319</v>
      </c>
      <c r="H15" s="61">
        <f>IF(AND(YEAR(FebSun1+19)=$A$1,MONTH(FebSun1+19)=2),FebSun1+19, "")</f>
        <v>41320</v>
      </c>
      <c r="I15" s="61">
        <f>IF(AND(YEAR(FebSun1+20)=$A$1,MONTH(FebSun1+20)=2),FebSun1+20, "")</f>
        <v>41321</v>
      </c>
      <c r="K15" s="61">
        <f>IF(AND(YEAR(MaySun1+14)=$A$1,MONTH(MaySun1+14)=5),MaySun1+14, "")</f>
        <v>41406</v>
      </c>
      <c r="L15" s="61">
        <f>IF(AND(YEAR(MaySun1+15)=$A$1,MONTH(MaySun1+15)=5),MaySun1+15, "")</f>
        <v>41407</v>
      </c>
      <c r="M15" s="61">
        <f>IF(AND(YEAR(MaySun1+16)=$A$1,MONTH(MaySun1+16)=5),MaySun1+16, "")</f>
        <v>41408</v>
      </c>
      <c r="N15" s="61">
        <f>IF(AND(YEAR(MaySun1+17)=$A$1,MONTH(MaySun1+17)=5),MaySun1+17, "")</f>
        <v>41409</v>
      </c>
      <c r="O15" s="61">
        <f>IF(AND(YEAR(MaySun1+18)=$A$1,MONTH(MaySun1+18)=5),MaySun1+18, "")</f>
        <v>41410</v>
      </c>
      <c r="P15" s="61">
        <f>IF(AND(YEAR(MaySun1+19)=$A$1,MONTH(MaySun1+19)=5),MaySun1+19, "")</f>
        <v>41411</v>
      </c>
      <c r="Q15" s="61">
        <f>IF(AND(YEAR(MaySun1+20)=$A$1,MONTH(MaySun1+20)=5),MaySun1+20, "")</f>
        <v>41412</v>
      </c>
      <c r="S15" s="61">
        <f>IF(AND(YEAR(AugSun1+14)=$A$1,MONTH(AugSun1+14)=8),AugSun1+14, "")</f>
        <v>41497</v>
      </c>
      <c r="T15" s="61">
        <f>IF(AND(YEAR(AugSun1+15)=$A$1,MONTH(AugSun1+15)=8),AugSun1+15, "")</f>
        <v>41498</v>
      </c>
      <c r="U15" s="61">
        <f>IF(AND(YEAR(AugSun1+16)=$A$1,MONTH(AugSun1+16)=8),AugSun1+16, "")</f>
        <v>41499</v>
      </c>
      <c r="V15" s="61">
        <f>IF(AND(YEAR(AugSun1+17)=$A$1,MONTH(AugSun1+17)=8),AugSun1+17, "")</f>
        <v>41500</v>
      </c>
      <c r="W15" s="61">
        <f>IF(AND(YEAR(AugSun1+18)=$A$1,MONTH(AugSun1+18)=8),AugSun1+18, "")</f>
        <v>41501</v>
      </c>
      <c r="X15" s="61">
        <f>IF(AND(YEAR(AugSun1+19)=$A$1,MONTH(AugSun1+19)=8),AugSun1+19, "")</f>
        <v>41502</v>
      </c>
      <c r="Y15" s="61">
        <f>IF(AND(YEAR(AugSun1+20)=$A$1,MONTH(AugSun1+20)=8),AugSun1+20, "")</f>
        <v>41503</v>
      </c>
      <c r="AA15" s="61">
        <f>IF(AND(YEAR(NovSun1+14)=$A$1,MONTH(NovSun1+14)=11),NovSun1+14, "")</f>
        <v>41588</v>
      </c>
      <c r="AB15" s="61">
        <f>IF(AND(YEAR(NovSun1+15)=$A$1,MONTH(NovSun1+15)=11),NovSun1+15, "")</f>
        <v>41589</v>
      </c>
      <c r="AC15" s="61">
        <f>IF(AND(YEAR(NovSun1+16)=$A$1,MONTH(NovSun1+16)=11),NovSun1+16, "")</f>
        <v>41590</v>
      </c>
      <c r="AD15" s="61">
        <f>IF(AND(YEAR(NovSun1+17)=$A$1,MONTH(NovSun1+17)=11),NovSun1+17, "")</f>
        <v>41591</v>
      </c>
      <c r="AE15" s="61">
        <f>IF(AND(YEAR(NovSun1+18)=$A$1,MONTH(NovSun1+18)=11),NovSun1+18, "")</f>
        <v>41592</v>
      </c>
      <c r="AF15" s="61">
        <f>IF(AND(YEAR(NovSun1+19)=$A$1,MONTH(NovSun1+19)=11),NovSun1+19, "")</f>
        <v>41593</v>
      </c>
      <c r="AG15" s="61">
        <f>IF(AND(YEAR(NovSun1+20)=$A$1,MONTH(NovSun1+20)=11),NovSun1+20, "")</f>
        <v>41594</v>
      </c>
    </row>
    <row r="16" spans="1:37" ht="15.95" customHeight="1" x14ac:dyDescent="0.2">
      <c r="C16" s="61">
        <f>IF(AND(YEAR(FebSun1+21)=$A$1,MONTH(FebSun1+21)=2),FebSun1+21, "")</f>
        <v>41322</v>
      </c>
      <c r="D16" s="61">
        <f>IF(AND(YEAR(FebSun1+22)=$A$1,MONTH(FebSun1+22)=2),FebSun1+22, "")</f>
        <v>41323</v>
      </c>
      <c r="E16" s="61">
        <f>IF(AND(YEAR(FebSun1+23)=$A$1,MONTH(FebSun1+23)=2),FebSun1+23, "")</f>
        <v>41324</v>
      </c>
      <c r="F16" s="61">
        <f>IF(AND(YEAR(FebSun1+24)=$A$1,MONTH(FebSun1+24)=2),FebSun1+24, "")</f>
        <v>41325</v>
      </c>
      <c r="G16" s="61">
        <f>IF(AND(YEAR(FebSun1+25)=$A$1,MONTH(FebSun1+25)=2),FebSun1+25, "")</f>
        <v>41326</v>
      </c>
      <c r="H16" s="61">
        <f>IF(AND(YEAR(FebSun1+26)=$A$1,MONTH(FebSun1+26)=2),FebSun1+26, "")</f>
        <v>41327</v>
      </c>
      <c r="I16" s="61">
        <f>IF(AND(YEAR(FebSun1+27)=$A$1,MONTH(FebSun1+27)=2),FebSun1+27, "")</f>
        <v>41328</v>
      </c>
      <c r="K16" s="61">
        <f>IF(AND(YEAR(MaySun1+21)=$A$1,MONTH(MaySun1+21)=5),MaySun1+21, "")</f>
        <v>41413</v>
      </c>
      <c r="L16" s="61">
        <f>IF(AND(YEAR(MaySun1+22)=$A$1,MONTH(MaySun1+22)=5),MaySun1+22, "")</f>
        <v>41414</v>
      </c>
      <c r="M16" s="61">
        <f>IF(AND(YEAR(MaySun1+23)=$A$1,MONTH(MaySun1+23)=5),MaySun1+23, "")</f>
        <v>41415</v>
      </c>
      <c r="N16" s="61">
        <f>IF(AND(YEAR(MaySun1+24)=$A$1,MONTH(MaySun1+24)=5),MaySun1+24, "")</f>
        <v>41416</v>
      </c>
      <c r="O16" s="61">
        <f>IF(AND(YEAR(MaySun1+25)=$A$1,MONTH(MaySun1+25)=5),MaySun1+25, "")</f>
        <v>41417</v>
      </c>
      <c r="P16" s="61">
        <f>IF(AND(YEAR(MaySun1+26)=$A$1,MONTH(MaySun1+26)=5),MaySun1+26, "")</f>
        <v>41418</v>
      </c>
      <c r="Q16" s="61">
        <f>IF(AND(YEAR(MaySun1+27)=$A$1,MONTH(MaySun1+27)=5),MaySun1+27, "")</f>
        <v>41419</v>
      </c>
      <c r="S16" s="61">
        <f>IF(AND(YEAR(AugSun1+21)=$A$1,MONTH(AugSun1+21)=8),AugSun1+21, "")</f>
        <v>41504</v>
      </c>
      <c r="T16" s="61">
        <f>IF(AND(YEAR(AugSun1+22)=$A$1,MONTH(AugSun1+22)=8),AugSun1+22, "")</f>
        <v>41505</v>
      </c>
      <c r="U16" s="61">
        <f>IF(AND(YEAR(AugSun1+23)=$A$1,MONTH(AugSun1+23)=8),AugSun1+23, "")</f>
        <v>41506</v>
      </c>
      <c r="V16" s="61">
        <f>IF(AND(YEAR(AugSun1+24)=$A$1,MONTH(AugSun1+24)=8),AugSun1+24, "")</f>
        <v>41507</v>
      </c>
      <c r="W16" s="61">
        <f>IF(AND(YEAR(AugSun1+25)=$A$1,MONTH(AugSun1+25)=8),AugSun1+25, "")</f>
        <v>41508</v>
      </c>
      <c r="X16" s="61">
        <f>IF(AND(YEAR(AugSun1+26)=$A$1,MONTH(AugSun1+26)=8),AugSun1+26, "")</f>
        <v>41509</v>
      </c>
      <c r="Y16" s="61">
        <f>IF(AND(YEAR(AugSun1+27)=$A$1,MONTH(AugSun1+27)=8),AugSun1+27, "")</f>
        <v>41510</v>
      </c>
      <c r="AA16" s="61">
        <f>IF(AND(YEAR(NovSun1+21)=$A$1,MONTH(NovSun1+21)=11),NovSun1+21, "")</f>
        <v>41595</v>
      </c>
      <c r="AB16" s="61">
        <f>IF(AND(YEAR(NovSun1+22)=$A$1,MONTH(NovSun1+22)=11),NovSun1+22, "")</f>
        <v>41596</v>
      </c>
      <c r="AC16" s="61">
        <f>IF(AND(YEAR(NovSun1+23)=$A$1,MONTH(NovSun1+23)=11),NovSun1+23, "")</f>
        <v>41597</v>
      </c>
      <c r="AD16" s="61">
        <f>IF(AND(YEAR(NovSun1+24)=$A$1,MONTH(NovSun1+24)=11),NovSun1+24, "")</f>
        <v>41598</v>
      </c>
      <c r="AE16" s="70">
        <f>IF(AND(YEAR(NovSun1+25)=$A$1,MONTH(NovSun1+25)=11),NovSun1+25, "")</f>
        <v>41599</v>
      </c>
      <c r="AF16" s="70">
        <f>IF(AND(YEAR(NovSun1+26)=$A$1,MONTH(NovSun1+26)=11),NovSun1+26, "")</f>
        <v>41600</v>
      </c>
      <c r="AG16" s="61">
        <f>IF(AND(YEAR(NovSun1+27)=$A$1,MONTH(NovSun1+27)=11),NovSun1+27, "")</f>
        <v>41601</v>
      </c>
    </row>
    <row r="17" spans="2:34" ht="15.95" customHeight="1" x14ac:dyDescent="0.2">
      <c r="C17" s="61">
        <f>IF(AND(YEAR(FebSun1+28)=$A$1,MONTH(FebSun1+28)=2),FebSun1+28, "")</f>
        <v>41329</v>
      </c>
      <c r="D17" s="61">
        <f>IF(AND(YEAR(FebSun1+29)=$A$1,MONTH(FebSun1+29)=2),FebSun1+29, "")</f>
        <v>41330</v>
      </c>
      <c r="E17" s="61">
        <f>IF(AND(YEAR(FebSun1+30)=$A$1,MONTH(FebSun1+30)=2),FebSun1+30, "")</f>
        <v>41331</v>
      </c>
      <c r="F17" s="61">
        <f>IF(AND(YEAR(FebSun1+31)=$A$1,MONTH(FebSun1+31)=2),FebSun1+31, "")</f>
        <v>41332</v>
      </c>
      <c r="G17" s="61">
        <f>IF(AND(YEAR(FebSun1+32)=$A$1,MONTH(FebSun1+32)=2),FebSun1+32, "")</f>
        <v>41333</v>
      </c>
      <c r="H17" s="61" t="str">
        <f>IF(AND(YEAR(FebSun1+33)=$A$1,MONTH(FebSun1+33)=2),FebSun1+33, "")</f>
        <v/>
      </c>
      <c r="I17" s="61" t="str">
        <f>IF(AND(YEAR(FebSun1+34)=$A$1,MONTH(FebSun1+34)=2),FebSun1+34, "")</f>
        <v/>
      </c>
      <c r="K17" s="61">
        <f>IF(AND(YEAR(MaySun1+28)=$A$1,MONTH(MaySun1+28)=5),MaySun1+28, "")</f>
        <v>41420</v>
      </c>
      <c r="L17" s="61">
        <f>IF(AND(YEAR(MaySun1+29)=$A$1,MONTH(MaySun1+29)=5),MaySun1+29, "")</f>
        <v>41421</v>
      </c>
      <c r="M17" s="61">
        <f>IF(AND(YEAR(MaySun1+30)=$A$1,MONTH(MaySun1+30)=5),MaySun1+30, "")</f>
        <v>41422</v>
      </c>
      <c r="N17" s="61">
        <f>IF(AND(YEAR(MaySun1+31)=$A$1,MONTH(MaySun1+31)=5),MaySun1+31, "")</f>
        <v>41423</v>
      </c>
      <c r="O17" s="61">
        <f>IF(AND(YEAR(MaySun1+32)=$A$1,MONTH(MaySun1+32)=5),MaySun1+32, "")</f>
        <v>41424</v>
      </c>
      <c r="P17" s="61">
        <f>IF(AND(YEAR(MaySun1+33)=$A$1,MONTH(MaySun1+33)=5),MaySun1+33, "")</f>
        <v>41425</v>
      </c>
      <c r="Q17" s="61" t="str">
        <f>IF(AND(YEAR(MaySun1+34)=$A$1,MONTH(MaySun1+34)=5),MaySun1+34, "")</f>
        <v/>
      </c>
      <c r="S17" s="61">
        <f>IF(AND(YEAR(AugSun1+28)=$A$1,MONTH(AugSun1+28)=8),AugSun1+28, "")</f>
        <v>41511</v>
      </c>
      <c r="T17" s="61">
        <f>IF(AND(YEAR(AugSun1+29)=$A$1,MONTH(AugSun1+29)=8),AugSun1+29, "")</f>
        <v>41512</v>
      </c>
      <c r="U17" s="61">
        <f>IF(AND(YEAR(AugSun1+30)=$A$1,MONTH(AugSun1+30)=8),AugSun1+30, "")</f>
        <v>41513</v>
      </c>
      <c r="V17" s="61">
        <f>IF(AND(YEAR(AugSun1+31)=$A$1,MONTH(AugSun1+31)=8),AugSun1+31, "")</f>
        <v>41514</v>
      </c>
      <c r="W17" s="61">
        <f>IF(AND(YEAR(AugSun1+32)=$A$1,MONTH(AugSun1+32)=8),AugSun1+32, "")</f>
        <v>41515</v>
      </c>
      <c r="X17" s="61">
        <f>IF(AND(YEAR(AugSun1+33)=$A$1,MONTH(AugSun1+33)=8),AugSun1+33, "")</f>
        <v>41516</v>
      </c>
      <c r="Y17" s="61">
        <f>IF(AND(YEAR(AugSun1+34)=$A$1,MONTH(AugSun1+34)=8),AugSun1+34, "")</f>
        <v>41517</v>
      </c>
      <c r="AA17" s="61">
        <f>IF(AND(YEAR(NovSun1+28)=$A$1,MONTH(NovSun1+28)=11),NovSun1+28, "")</f>
        <v>41602</v>
      </c>
      <c r="AB17" s="61">
        <f>IF(AND(YEAR(NovSun1+29)=$A$1,MONTH(NovSun1+29)=11),NovSun1+29, "")</f>
        <v>41603</v>
      </c>
      <c r="AC17" s="61">
        <f>IF(AND(YEAR(NovSun1+30)=$A$1,MONTH(NovSun1+30)=11),NovSun1+30, "")</f>
        <v>41604</v>
      </c>
      <c r="AD17" s="61">
        <f>IF(AND(YEAR(NovSun1+31)=$A$1,MONTH(NovSun1+31)=11),NovSun1+31, "")</f>
        <v>41605</v>
      </c>
      <c r="AE17" s="61">
        <f>IF(AND(YEAR(NovSun1+32)=$A$1,MONTH(NovSun1+32)=11),NovSun1+32, "")</f>
        <v>41606</v>
      </c>
      <c r="AF17" s="61">
        <f>IF(AND(YEAR(NovSun1+33)=$A$1,MONTH(NovSun1+33)=11),NovSun1+33, "")</f>
        <v>41607</v>
      </c>
      <c r="AG17" s="61">
        <f>IF(AND(YEAR(NovSun1+34)=$A$1,MONTH(NovSun1+34)=11),NovSun1+34, "")</f>
        <v>41608</v>
      </c>
    </row>
    <row r="18" spans="2:34" ht="15.95" customHeight="1" x14ac:dyDescent="0.2">
      <c r="C18" s="62" t="str">
        <f>IF(AND(YEAR(FebSun1+35)=$A$1,MONTH(FebSun1+35)=2),FebSun1+35, "")</f>
        <v/>
      </c>
      <c r="D18" s="62" t="str">
        <f>IF(AND(YEAR(FebSun1+36)=$A$1,MONTH(FebSun1+36)=2),FebSun1+36, "")</f>
        <v/>
      </c>
      <c r="E18" s="62" t="str">
        <f>IF(AND(YEAR(FebSun1+37)=$A$1,MONTH(FebSun1+37)=2),FebSun1+37, "")</f>
        <v/>
      </c>
      <c r="F18" s="62" t="str">
        <f>IF(AND(YEAR(FebSun1+38)=$A$1,MONTH(FebSun1+38)=2),FebSun1+38, "")</f>
        <v/>
      </c>
      <c r="G18" s="62" t="str">
        <f>IF(AND(YEAR(FebSun1+39)=$A$1,MONTH(FebSun1+39)=2),FebSun1+39, "")</f>
        <v/>
      </c>
      <c r="H18" s="62" t="str">
        <f>IF(AND(YEAR(FebSun1+40)=$A$1,MONTH(FebSun1+40)=2),FebSun1+40, "")</f>
        <v/>
      </c>
      <c r="I18" s="62" t="str">
        <f>IF(AND(YEAR(FebSun1+41)=$A$1,MONTH(FebSun1+41)=2),FebSun1+41, "")</f>
        <v/>
      </c>
      <c r="K18" s="62" t="str">
        <f>IF(AND(YEAR(MaySun1+35)=$A$1,MONTH(MaySun1+35)=5),MaySun1+35, "")</f>
        <v/>
      </c>
      <c r="L18" s="62" t="str">
        <f>IF(AND(YEAR(MaySun1+36)=$A$1,MONTH(MaySun1+36)=5),MaySun1+36, "")</f>
        <v/>
      </c>
      <c r="M18" s="62" t="str">
        <f>IF(AND(YEAR(MaySun1+37)=$A$1,MONTH(MaySun1+37)=5),MaySun1+37, "")</f>
        <v/>
      </c>
      <c r="N18" s="62" t="str">
        <f>IF(AND(YEAR(MaySun1+38)=$A$1,MONTH(MaySun1+38)=5),MaySun1+38, "")</f>
        <v/>
      </c>
      <c r="O18" s="62" t="str">
        <f>IF(AND(YEAR(MaySun1+39)=$A$1,MONTH(MaySun1+39)=5),MaySun1+39, "")</f>
        <v/>
      </c>
      <c r="P18" s="62" t="str">
        <f>IF(AND(YEAR(MaySun1+40)=$A$1,MONTH(MaySun1+40)=5),MaySun1+40, "")</f>
        <v/>
      </c>
      <c r="Q18" s="62" t="str">
        <f>IF(AND(YEAR(MaySun1+41)=$A$1,MONTH(MaySun1+41)=5),MaySun1+41, "")</f>
        <v/>
      </c>
      <c r="S18" s="62" t="str">
        <f>IF(AND(YEAR(AugSun1+35)=$A$1,MONTH(AugSun1+35)=8),AugSun1+35, "")</f>
        <v/>
      </c>
      <c r="T18" s="62" t="str">
        <f>IF(AND(YEAR(AugSun1+36)=$A$1,MONTH(AugSun1+36)=8),AugSun1+36, "")</f>
        <v/>
      </c>
      <c r="U18" s="62" t="str">
        <f>IF(AND(YEAR(AugSun1+37)=$A$1,MONTH(AugSun1+37)=8),AugSun1+37, "")</f>
        <v/>
      </c>
      <c r="V18" s="62" t="str">
        <f>IF(AND(YEAR(AugSun1+38)=$A$1,MONTH(AugSun1+38)=8),AugSun1+38, "")</f>
        <v/>
      </c>
      <c r="W18" s="62" t="str">
        <f>IF(AND(YEAR(AugSun1+39)=$A$1,MONTH(AugSun1+39)=8),AugSun1+39, "")</f>
        <v/>
      </c>
      <c r="X18" s="62" t="str">
        <f>IF(AND(YEAR(AugSun1+40)=$A$1,MONTH(AugSun1+40)=8),AugSun1+40, "")</f>
        <v/>
      </c>
      <c r="Y18" s="62" t="str">
        <f>IF(AND(YEAR(AugSun1+41)=$A$1,MONTH(AugSun1+41)=8),AugSun1+41, "")</f>
        <v/>
      </c>
      <c r="AA18" s="62" t="str">
        <f>IF(AND(YEAR(NovSun1+35)=$A$1,MONTH(NovSun1+35)=11),NovSun1+35, "")</f>
        <v/>
      </c>
      <c r="AB18" s="62" t="str">
        <f>IF(AND(YEAR(NovSun1+36)=$A$1,MONTH(NovSun1+36)=11),NovSun1+36, "")</f>
        <v/>
      </c>
      <c r="AC18" s="62" t="str">
        <f>IF(AND(YEAR(NovSun1+37)=$A$1,MONTH(NovSun1+37)=11),NovSun1+37, "")</f>
        <v/>
      </c>
      <c r="AD18" s="62" t="str">
        <f>IF(AND(YEAR(NovSun1+38)=$A$1,MONTH(NovSun1+38)=11),NovSun1+38, "")</f>
        <v/>
      </c>
      <c r="AE18" s="62" t="str">
        <f>IF(AND(YEAR(NovSun1+39)=$A$1,MONTH(NovSun1+39)=11),NovSun1+39, "")</f>
        <v/>
      </c>
      <c r="AF18" s="62" t="str">
        <f>IF(AND(YEAR(NovSun1+40)=$A$1,MONTH(NovSun1+40)=11),NovSun1+40, "")</f>
        <v/>
      </c>
      <c r="AG18" s="62" t="str">
        <f>IF(AND(YEAR(NovSun1+41)=$A$1,MONTH(NovSun1+41)=11),NovSun1+41, "")</f>
        <v/>
      </c>
    </row>
    <row r="19" spans="2:34" ht="15.95" customHeight="1" x14ac:dyDescent="0.2">
      <c r="B19" s="63"/>
      <c r="C19" s="64"/>
      <c r="D19" s="64"/>
      <c r="E19" s="64"/>
      <c r="F19" s="64"/>
      <c r="G19" s="64"/>
      <c r="H19" s="64"/>
      <c r="I19" s="64"/>
      <c r="J19" s="63"/>
      <c r="K19" s="64"/>
      <c r="L19" s="64"/>
      <c r="M19" s="64"/>
      <c r="N19" s="64"/>
      <c r="O19" s="64"/>
      <c r="P19" s="64"/>
      <c r="Q19" s="64"/>
      <c r="R19" s="63"/>
      <c r="S19" s="64"/>
      <c r="T19" s="64"/>
      <c r="U19" s="64"/>
      <c r="V19" s="64"/>
      <c r="W19" s="64"/>
      <c r="X19" s="64"/>
      <c r="Y19" s="64"/>
      <c r="Z19" s="63"/>
      <c r="AA19" s="64"/>
      <c r="AB19" s="64"/>
      <c r="AC19" s="64"/>
      <c r="AD19" s="64"/>
      <c r="AE19" s="64"/>
      <c r="AF19" s="64"/>
      <c r="AG19" s="64"/>
      <c r="AH19" s="63"/>
    </row>
    <row r="20" spans="2:34" ht="15.95" customHeight="1" x14ac:dyDescent="0.2">
      <c r="C20" s="156" t="s">
        <v>84</v>
      </c>
      <c r="D20" s="157"/>
      <c r="E20" s="157"/>
      <c r="F20" s="157"/>
      <c r="G20" s="157"/>
      <c r="H20" s="157"/>
      <c r="I20" s="158"/>
      <c r="K20" s="156" t="s">
        <v>85</v>
      </c>
      <c r="L20" s="157"/>
      <c r="M20" s="157"/>
      <c r="N20" s="157"/>
      <c r="O20" s="157"/>
      <c r="P20" s="157"/>
      <c r="Q20" s="158"/>
      <c r="S20" s="156" t="s">
        <v>86</v>
      </c>
      <c r="T20" s="157"/>
      <c r="U20" s="157"/>
      <c r="V20" s="157"/>
      <c r="W20" s="157"/>
      <c r="X20" s="157"/>
      <c r="Y20" s="158"/>
      <c r="AA20" s="156" t="s">
        <v>87</v>
      </c>
      <c r="AB20" s="157"/>
      <c r="AC20" s="157"/>
      <c r="AD20" s="157"/>
      <c r="AE20" s="157"/>
      <c r="AF20" s="157"/>
      <c r="AG20" s="158"/>
    </row>
    <row r="21" spans="2:34" ht="15.95" customHeight="1" x14ac:dyDescent="0.2">
      <c r="B21" s="59"/>
      <c r="C21" s="60" t="s">
        <v>75</v>
      </c>
      <c r="D21" s="60" t="s">
        <v>76</v>
      </c>
      <c r="E21" s="60" t="s">
        <v>77</v>
      </c>
      <c r="F21" s="60" t="s">
        <v>78</v>
      </c>
      <c r="G21" s="60" t="s">
        <v>77</v>
      </c>
      <c r="H21" s="60" t="s">
        <v>79</v>
      </c>
      <c r="I21" s="60" t="s">
        <v>75</v>
      </c>
      <c r="K21" s="60" t="s">
        <v>75</v>
      </c>
      <c r="L21" s="60" t="s">
        <v>76</v>
      </c>
      <c r="M21" s="60" t="s">
        <v>77</v>
      </c>
      <c r="N21" s="60" t="s">
        <v>78</v>
      </c>
      <c r="O21" s="60" t="s">
        <v>77</v>
      </c>
      <c r="P21" s="60" t="s">
        <v>79</v>
      </c>
      <c r="Q21" s="60" t="s">
        <v>75</v>
      </c>
      <c r="S21" s="60" t="s">
        <v>75</v>
      </c>
      <c r="T21" s="60" t="s">
        <v>76</v>
      </c>
      <c r="U21" s="60" t="s">
        <v>77</v>
      </c>
      <c r="V21" s="60" t="s">
        <v>78</v>
      </c>
      <c r="W21" s="60" t="s">
        <v>77</v>
      </c>
      <c r="X21" s="60" t="s">
        <v>79</v>
      </c>
      <c r="Y21" s="60" t="s">
        <v>75</v>
      </c>
      <c r="AA21" s="60" t="s">
        <v>75</v>
      </c>
      <c r="AB21" s="60" t="s">
        <v>76</v>
      </c>
      <c r="AC21" s="60" t="s">
        <v>77</v>
      </c>
      <c r="AD21" s="60" t="s">
        <v>78</v>
      </c>
      <c r="AE21" s="60" t="s">
        <v>77</v>
      </c>
      <c r="AF21" s="60" t="s">
        <v>79</v>
      </c>
      <c r="AG21" s="60" t="s">
        <v>75</v>
      </c>
    </row>
    <row r="22" spans="2:34" ht="15.95" customHeight="1" x14ac:dyDescent="0.2">
      <c r="C22" s="61" t="str">
        <f>IF(AND(YEAR(MarSun1)=$A$1,MONTH(MarSun1)=3),MarSun1, "")</f>
        <v/>
      </c>
      <c r="D22" s="61" t="str">
        <f>IF(AND(YEAR(MarSun1+1)=$A$1,MONTH(MarSun1+1)=3),MarSun1+1, "")</f>
        <v/>
      </c>
      <c r="E22" s="61" t="str">
        <f>IF(AND(YEAR(MarSun1+2)=$A$1,MONTH(MarSun1+2)=3),MarSun1+2, "")</f>
        <v/>
      </c>
      <c r="F22" s="61" t="str">
        <f>IF(AND(YEAR(MarSun1+3)=$A$1,MONTH(MarSun1+3)=3),MarSun1+3, "")</f>
        <v/>
      </c>
      <c r="G22" s="61" t="str">
        <f>IF(AND(YEAR(MarSun1+4)=$A$1,MONTH(MarSun1+4)=3),MarSun1+4, "")</f>
        <v/>
      </c>
      <c r="H22" s="61">
        <f>IF(AND(YEAR(MarSun1+5)=$A$1,MONTH(MarSun1+5)=3),MarSun1+5, "")</f>
        <v>41334</v>
      </c>
      <c r="I22" s="61">
        <f>IF(AND(YEAR(MarSun1+6)=$A$1,MONTH(MarSun1+6)=3),MarSun1+6, "")</f>
        <v>41335</v>
      </c>
      <c r="K22" s="61" t="str">
        <f>IF(AND(YEAR(JunSun1)=$A$1,MONTH(JunSun1)=6),JunSun1, "")</f>
        <v/>
      </c>
      <c r="L22" s="61" t="str">
        <f>IF(AND(YEAR(JunSun1+1)=$A$1,MONTH(JunSun1+1)=6),JunSun1+1, "")</f>
        <v/>
      </c>
      <c r="M22" s="61" t="str">
        <f>IF(AND(YEAR(JunSun1+2)=$A$1,MONTH(JunSun1+2)=6),JunSun1+2, "")</f>
        <v/>
      </c>
      <c r="N22" s="61" t="str">
        <f>IF(AND(YEAR(JunSun1+3)=$A$1,MONTH(JunSun1+3)=6),JunSun1+3, "")</f>
        <v/>
      </c>
      <c r="O22" s="61" t="str">
        <f>IF(AND(YEAR(JunSun1+4)=$A$1,MONTH(JunSun1+4)=6),JunSun1+4, "")</f>
        <v/>
      </c>
      <c r="P22" s="61" t="str">
        <f>IF(AND(YEAR(JunSun1+5)=$A$1,MONTH(JunSun1+5)=6),JunSun1+5, "")</f>
        <v/>
      </c>
      <c r="Q22" s="61">
        <f>IF(AND(YEAR(JunSun1+6)=$A$1,MONTH(JunSun1+6)=6),JunSun1+6, "")</f>
        <v>41426</v>
      </c>
      <c r="S22" s="61">
        <f>IF(AND(YEAR(SepSun1)=$A$1,MONTH(SepSun1)=9),SepSun1, "")</f>
        <v>41518</v>
      </c>
      <c r="T22" s="70">
        <f>IF(AND(YEAR(SepSun1+1)=$A$1,MONTH(SepSun1+1)=9),SepSun1+1, "")</f>
        <v>41519</v>
      </c>
      <c r="U22" s="61">
        <f>IF(AND(YEAR(SepSun1+2)=$A$1,MONTH(SepSun1+2)=9),SepSun1+2, "")</f>
        <v>41520</v>
      </c>
      <c r="V22" s="61">
        <f>IF(AND(YEAR(SepSun1+3)=$A$1,MONTH(SepSun1+3)=9),SepSun1+3, "")</f>
        <v>41521</v>
      </c>
      <c r="W22" s="61">
        <f>IF(AND(YEAR(SepSun1+4)=$A$1,MONTH(SepSun1+4)=9),SepSun1+4, "")</f>
        <v>41522</v>
      </c>
      <c r="X22" s="61">
        <f>IF(AND(YEAR(SepSun1+5)=$A$1,MONTH(SepSun1+5)=9),SepSun1+5, "")</f>
        <v>41523</v>
      </c>
      <c r="Y22" s="61">
        <f>IF(AND(YEAR(SepSun1+6)=$A$1,MONTH(SepSun1+6)=9),SepSun1+6, "")</f>
        <v>41524</v>
      </c>
      <c r="AA22" s="61">
        <f>IF(AND(YEAR(DecSun1)=$A$1,MONTH(DecSun1)=12),DecSun1, "")</f>
        <v>41609</v>
      </c>
      <c r="AB22" s="70">
        <f>IF(AND(YEAR(DecSun1+1)=$A$1,MONTH(DecSun1+1)=12),DecSun1+1, "")</f>
        <v>41610</v>
      </c>
      <c r="AC22" s="70">
        <f>IF(AND(YEAR(DecSun1+2)=$A$1,MONTH(DecSun1+2)=12),DecSun1+2, "")</f>
        <v>41611</v>
      </c>
      <c r="AD22" s="61">
        <f>IF(AND(YEAR(DecSun1+3)=$A$1,MONTH(DecSun1+3)=12),DecSun1+3, "")</f>
        <v>41612</v>
      </c>
      <c r="AE22" s="61">
        <f>IF(AND(YEAR(DecSun1+4)=$A$1,MONTH(DecSun1+4)=12),DecSun1+4, "")</f>
        <v>41613</v>
      </c>
      <c r="AF22" s="61">
        <f>IF(AND(YEAR(DecSun1+5)=$A$1,MONTH(DecSun1+5)=12),DecSun1+5, "")</f>
        <v>41614</v>
      </c>
      <c r="AG22" s="61">
        <f>IF(AND(YEAR(DecSun1+6)=$A$1,MONTH(DecSun1+6)=12),DecSun1+6, "")</f>
        <v>41615</v>
      </c>
    </row>
    <row r="23" spans="2:34" ht="15.95" customHeight="1" x14ac:dyDescent="0.2">
      <c r="C23" s="61">
        <f>IF(AND(YEAR(MarSun1+7)=$A$1,MONTH(MarSun1+7)=3),MarSun1+7, "")</f>
        <v>41336</v>
      </c>
      <c r="D23" s="61">
        <f>IF(AND(YEAR(MarSun1+8)=$A$1,MONTH(MarSun1+8)=3),MarSun1+8, "")</f>
        <v>41337</v>
      </c>
      <c r="E23" s="61">
        <f>IF(AND(YEAR(MarSun1+9)=$A$1,MONTH(MarSun1+9)=3),MarSun1+9, "")</f>
        <v>41338</v>
      </c>
      <c r="F23" s="61">
        <f>IF(AND(YEAR(MarSun1+10)=$A$1,MONTH(MarSun1+10)=3),MarSun1+10, "")</f>
        <v>41339</v>
      </c>
      <c r="G23" s="61">
        <f>IF(AND(YEAR(MarSun1+11)=$A$1,MONTH(MarSun1+11)=3),MarSun1+11, "")</f>
        <v>41340</v>
      </c>
      <c r="H23" s="61">
        <f>IF(AND(YEAR(MarSun1+12)=$A$1,MONTH(MarSun1+12)=3),MarSun1+12, "")</f>
        <v>41341</v>
      </c>
      <c r="I23" s="61">
        <f>IF(AND(YEAR(MarSun1+13)=$A$1,MONTH(MarSun1+13)=3),MarSun1+13, "")</f>
        <v>41342</v>
      </c>
      <c r="K23" s="61">
        <f>IF(AND(YEAR(JunSun1+7)=$A$1,MONTH(JunSun1+7)=6),JunSun1+7, "")</f>
        <v>41427</v>
      </c>
      <c r="L23" s="61">
        <f>IF(AND(YEAR(JunSun1+8)=$A$1,MONTH(JunSun1+8)=6),JunSun1+8, "")</f>
        <v>41428</v>
      </c>
      <c r="M23" s="61">
        <f>IF(AND(YEAR(JunSun1+9)=$A$1,MONTH(JunSun1+9)=6),JunSun1+9, "")</f>
        <v>41429</v>
      </c>
      <c r="N23" s="61">
        <f>IF(AND(YEAR(JunSun1+10)=$A$1,MONTH(JunSun1+10)=6),JunSun1+10, "")</f>
        <v>41430</v>
      </c>
      <c r="O23" s="61">
        <f>IF(AND(YEAR(JunSun1+11)=$A$1,MONTH(JunSun1+11)=6),JunSun1+11, "")</f>
        <v>41431</v>
      </c>
      <c r="P23" s="61">
        <f>IF(AND(YEAR(JunSun1+12)=$A$1,MONTH(JunSun1+12)=6),JunSun1+12, "")</f>
        <v>41432</v>
      </c>
      <c r="Q23" s="61">
        <f>IF(AND(YEAR(JunSun1+13)=$A$1,MONTH(JunSun1+13)=6),JunSun1+13, "")</f>
        <v>41433</v>
      </c>
      <c r="S23" s="61">
        <f>IF(AND(YEAR(SepSun1+7)=$A$1,MONTH(SepSun1+7)=9),SepSun1+7, "")</f>
        <v>41525</v>
      </c>
      <c r="T23" s="61">
        <f>IF(AND(YEAR(SepSun1+8)=$A$1,MONTH(SepSun1+8)=9),SepSun1+8, "")</f>
        <v>41526</v>
      </c>
      <c r="U23" s="61">
        <f>IF(AND(YEAR(SepSun1+9)=$A$1,MONTH(SepSun1+9)=9),SepSun1+9, "")</f>
        <v>41527</v>
      </c>
      <c r="V23" s="61">
        <f>IF(AND(YEAR(SepSun1+10)=$A$1,MONTH(SepSun1+10)=9),SepSun1+10, "")</f>
        <v>41528</v>
      </c>
      <c r="W23" s="61">
        <f>IF(AND(YEAR(SepSun1+11)=$A$1,MONTH(SepSun1+11)=9),SepSun1+11, "")</f>
        <v>41529</v>
      </c>
      <c r="X23" s="61">
        <f>IF(AND(YEAR(SepSun1+12)=$A$1,MONTH(SepSun1+12)=9),SepSun1+12, "")</f>
        <v>41530</v>
      </c>
      <c r="Y23" s="61">
        <f>IF(AND(YEAR(SepSun1+13)=$A$1,MONTH(SepSun1+13)=9),SepSun1+13, "")</f>
        <v>41531</v>
      </c>
      <c r="AA23" s="61">
        <f>IF(AND(YEAR(DecSun1+7)=$A$1,MONTH(DecSun1+7)=12),DecSun1+7, "")</f>
        <v>41616</v>
      </c>
      <c r="AB23" s="70">
        <f>IF(AND(YEAR(DecSun1+8)=$A$1,MONTH(DecSun1+8)=12),DecSun1+8, "")</f>
        <v>41617</v>
      </c>
      <c r="AC23" s="70">
        <f>IF(AND(YEAR(DecSun1+9)=$A$1,MONTH(DecSun1+9)=12),DecSun1+9, "")</f>
        <v>41618</v>
      </c>
      <c r="AD23" s="61">
        <f>IF(AND(YEAR(DecSun1+10)=$A$1,MONTH(DecSun1+10)=12),DecSun1+10, "")</f>
        <v>41619</v>
      </c>
      <c r="AE23" s="61">
        <f>IF(AND(YEAR(DecSun1+11)=$A$1,MONTH(DecSun1+11)=12),DecSun1+11, "")</f>
        <v>41620</v>
      </c>
      <c r="AF23" s="61">
        <f>IF(AND(YEAR(DecSun1+12)=$A$1,MONTH(DecSun1+12)=12),DecSun1+12, "")</f>
        <v>41621</v>
      </c>
      <c r="AG23" s="61">
        <f>IF(AND(YEAR(DecSun1+13)=$A$1,MONTH(DecSun1+13)=12),DecSun1+13, "")</f>
        <v>41622</v>
      </c>
    </row>
    <row r="24" spans="2:34" ht="15.95" customHeight="1" x14ac:dyDescent="0.2">
      <c r="C24" s="61">
        <f>IF(AND(YEAR(MarSun1+14)=$A$1,MONTH(MarSun1+14)=3),MarSun1+14, "")</f>
        <v>41343</v>
      </c>
      <c r="D24" s="61">
        <f>IF(AND(YEAR(MarSun1+15)=$A$1,MONTH(MarSun1+15)=3),MarSun1+15, "")</f>
        <v>41344</v>
      </c>
      <c r="E24" s="61">
        <f>IF(AND(YEAR(MarSun1+16)=$A$1,MONTH(MarSun1+16)=3),MarSun1+16, "")</f>
        <v>41345</v>
      </c>
      <c r="F24" s="61">
        <f>IF(AND(YEAR(MarSun1+17)=$A$1,MONTH(MarSun1+17)=3),MarSun1+17, "")</f>
        <v>41346</v>
      </c>
      <c r="G24" s="61">
        <f>IF(AND(YEAR(MarSun1+18)=$A$1,MONTH(MarSun1+18)=3),MarSun1+18, "")</f>
        <v>41347</v>
      </c>
      <c r="H24" s="61">
        <f>IF(AND(YEAR(MarSun1+19)=$A$1,MONTH(MarSun1+19)=3),MarSun1+19, "")</f>
        <v>41348</v>
      </c>
      <c r="I24" s="61">
        <f>IF(AND(YEAR(MarSun1+20)=$A$1,MONTH(MarSun1+20)=3),MarSun1+20, "")</f>
        <v>41349</v>
      </c>
      <c r="K24" s="61">
        <f>IF(AND(YEAR(JunSun1+14)=$A$1,MONTH(JunSun1+14)=6),JunSun1+14, "")</f>
        <v>41434</v>
      </c>
      <c r="L24" s="61">
        <f>IF(AND(YEAR(JunSun1+15)=$A$1,MONTH(JunSun1+15)=6),JunSun1+15, "")</f>
        <v>41435</v>
      </c>
      <c r="M24" s="61">
        <f>IF(AND(YEAR(JunSun1+16)=$A$1,MONTH(JunSun1+16)=6),JunSun1+16, "")</f>
        <v>41436</v>
      </c>
      <c r="N24" s="61">
        <f>IF(AND(YEAR(JunSun1+17)=$A$1,MONTH(JunSun1+17)=6),JunSun1+17, "")</f>
        <v>41437</v>
      </c>
      <c r="O24" s="61">
        <f>IF(AND(YEAR(JunSun1+18)=$A$1,MONTH(JunSun1+18)=6),JunSun1+18, "")</f>
        <v>41438</v>
      </c>
      <c r="P24" s="61">
        <f>IF(AND(YEAR(JunSun1+19)=$A$1,MONTH(JunSun1+19)=6),JunSun1+19, "")</f>
        <v>41439</v>
      </c>
      <c r="Q24" s="61">
        <f>IF(AND(YEAR(JunSun1+20)=$A$1,MONTH(JunSun1+20)=6),JunSun1+20, "")</f>
        <v>41440</v>
      </c>
      <c r="S24" s="61">
        <f>IF(AND(YEAR(SepSun1+14)=$A$1,MONTH(SepSun1+14)=9),SepSun1+14, "")</f>
        <v>41532</v>
      </c>
      <c r="T24" s="61">
        <f>IF(AND(YEAR(SepSun1+15)=$A$1,MONTH(SepSun1+15)=9),SepSun1+15, "")</f>
        <v>41533</v>
      </c>
      <c r="U24" s="61">
        <f>IF(AND(YEAR(SepSun1+16)=$A$1,MONTH(SepSun1+16)=9),SepSun1+16, "")</f>
        <v>41534</v>
      </c>
      <c r="V24" s="61">
        <f>IF(AND(YEAR(SepSun1+17)=$A$1,MONTH(SepSun1+17)=9),SepSun1+17, "")</f>
        <v>41535</v>
      </c>
      <c r="W24" s="61">
        <f>IF(AND(YEAR(SepSun1+18)=$A$1,MONTH(SepSun1+18)=9),SepSun1+18, "")</f>
        <v>41536</v>
      </c>
      <c r="X24" s="61">
        <f>IF(AND(YEAR(SepSun1+19)=$A$1,MONTH(SepSun1+19)=9),SepSun1+19, "")</f>
        <v>41537</v>
      </c>
      <c r="Y24" s="61">
        <f>IF(AND(YEAR(SepSun1+20)=$A$1,MONTH(SepSun1+20)=9),SepSun1+20, "")</f>
        <v>41538</v>
      </c>
      <c r="AA24" s="61">
        <f>IF(AND(YEAR(DecSun1+14)=$A$1,MONTH(DecSun1+14)=12),DecSun1+14, "")</f>
        <v>41623</v>
      </c>
      <c r="AB24" s="61">
        <f>IF(AND(YEAR(DecSun1+15)=$A$1,MONTH(DecSun1+15)=12),DecSun1+15, "")</f>
        <v>41624</v>
      </c>
      <c r="AC24" s="61">
        <f>IF(AND(YEAR(DecSun1+16)=$A$1,MONTH(DecSun1+16)=12),DecSun1+16, "")</f>
        <v>41625</v>
      </c>
      <c r="AD24" s="61">
        <f>IF(AND(YEAR(DecSun1+17)=$A$1,MONTH(DecSun1+17)=12),DecSun1+17, "")</f>
        <v>41626</v>
      </c>
      <c r="AE24" s="61">
        <f>IF(AND(YEAR(DecSun1+18)=$A$1,MONTH(DecSun1+18)=12),DecSun1+18, "")</f>
        <v>41627</v>
      </c>
      <c r="AF24" s="61">
        <f>IF(AND(YEAR(DecSun1+19)=$A$1,MONTH(DecSun1+19)=12),DecSun1+19, "")</f>
        <v>41628</v>
      </c>
      <c r="AG24" s="61">
        <f>IF(AND(YEAR(DecSun1+20)=$A$1,MONTH(DecSun1+20)=12),DecSun1+20, "")</f>
        <v>41629</v>
      </c>
    </row>
    <row r="25" spans="2:34" ht="15.95" customHeight="1" x14ac:dyDescent="0.2">
      <c r="C25" s="61">
        <f>IF(AND(YEAR(MarSun1+21)=$A$1,MONTH(MarSun1+21)=3),MarSun1+21, "")</f>
        <v>41350</v>
      </c>
      <c r="D25" s="61">
        <f>IF(AND(YEAR(MarSun1+22)=$A$1,MONTH(MarSun1+22)=3),MarSun1+22, "")</f>
        <v>41351</v>
      </c>
      <c r="E25" s="61">
        <f>IF(AND(YEAR(MarSun1+23)=$A$1,MONTH(MarSun1+23)=3),MarSun1+23, "")</f>
        <v>41352</v>
      </c>
      <c r="F25" s="61">
        <f>IF(AND(YEAR(MarSun1+24)=$A$1,MONTH(MarSun1+24)=3),MarSun1+24, "")</f>
        <v>41353</v>
      </c>
      <c r="G25" s="61">
        <f>IF(AND(YEAR(MarSun1+25)=$A$1,MONTH(MarSun1+25)=3),MarSun1+25, "")</f>
        <v>41354</v>
      </c>
      <c r="H25" s="61">
        <f>IF(AND(YEAR(MarSun1+26)=$A$1,MONTH(MarSun1+26)=3),MarSun1+26, "")</f>
        <v>41355</v>
      </c>
      <c r="I25" s="61">
        <f>IF(AND(YEAR(MarSun1+27)=$A$1,MONTH(MarSun1+27)=3),MarSun1+27, "")</f>
        <v>41356</v>
      </c>
      <c r="K25" s="61">
        <f>IF(AND(YEAR(JunSun1+21)=$A$1,MONTH(JunSun1+21)=6),JunSun1+21, "")</f>
        <v>41441</v>
      </c>
      <c r="L25" s="61">
        <f>IF(AND(YEAR(JunSun1+22)=$A$1,MONTH(JunSun1+22)=6),JunSun1+22, "")</f>
        <v>41442</v>
      </c>
      <c r="M25" s="61">
        <f>IF(AND(YEAR(JunSun1+23)=$A$1,MONTH(JunSun1+23)=6),JunSun1+23, "")</f>
        <v>41443</v>
      </c>
      <c r="N25" s="61">
        <f>IF(AND(YEAR(JunSun1+24)=$A$1,MONTH(JunSun1+24)=6),JunSun1+24, "")</f>
        <v>41444</v>
      </c>
      <c r="O25" s="61">
        <f>IF(AND(YEAR(JunSun1+25)=$A$1,MONTH(JunSun1+25)=6),JunSun1+25, "")</f>
        <v>41445</v>
      </c>
      <c r="P25" s="61">
        <f>IF(AND(YEAR(JunSun1+26)=$A$1,MONTH(JunSun1+26)=6),JunSun1+26, "")</f>
        <v>41446</v>
      </c>
      <c r="Q25" s="61">
        <f>IF(AND(YEAR(JunSun1+27)=$A$1,MONTH(JunSun1+27)=6),JunSun1+27, "")</f>
        <v>41447</v>
      </c>
      <c r="S25" s="61">
        <f>IF(AND(YEAR(SepSun1+21)=$A$1,MONTH(SepSun1+21)=9),SepSun1+21, "")</f>
        <v>41539</v>
      </c>
      <c r="T25" s="61">
        <f>IF(AND(YEAR(SepSun1+22)=$A$1,MONTH(SepSun1+22)=9),SepSun1+22, "")</f>
        <v>41540</v>
      </c>
      <c r="U25" s="61">
        <f>IF(AND(YEAR(SepSun1+23)=$A$1,MONTH(SepSun1+23)=9),SepSun1+23, "")</f>
        <v>41541</v>
      </c>
      <c r="V25" s="61">
        <f>IF(AND(YEAR(SepSun1+24)=$A$1,MONTH(SepSun1+24)=9),SepSun1+24, "")</f>
        <v>41542</v>
      </c>
      <c r="W25" s="61">
        <f>IF(AND(YEAR(SepSun1+25)=$A$1,MONTH(SepSun1+25)=9),SepSun1+25, "")</f>
        <v>41543</v>
      </c>
      <c r="X25" s="61">
        <f>IF(AND(YEAR(SepSun1+26)=$A$1,MONTH(SepSun1+26)=9),SepSun1+26, "")</f>
        <v>41544</v>
      </c>
      <c r="Y25" s="61">
        <f>IF(AND(YEAR(SepSun1+27)=$A$1,MONTH(SepSun1+27)=9),SepSun1+27, "")</f>
        <v>41545</v>
      </c>
      <c r="AA25" s="61">
        <f>IF(AND(YEAR(DecSun1+21)=$A$1,MONTH(DecSun1+21)=12),DecSun1+21, "")</f>
        <v>41630</v>
      </c>
      <c r="AB25" s="61">
        <f>IF(AND(YEAR(DecSun1+22)=$A$1,MONTH(DecSun1+22)=12),DecSun1+22, "")</f>
        <v>41631</v>
      </c>
      <c r="AC25" s="61">
        <f>IF(AND(YEAR(DecSun1+23)=$A$1,MONTH(DecSun1+23)=12),DecSun1+23, "")</f>
        <v>41632</v>
      </c>
      <c r="AD25" s="61">
        <f>IF(AND(YEAR(DecSun1+24)=$A$1,MONTH(DecSun1+24)=12),DecSun1+24, "")</f>
        <v>41633</v>
      </c>
      <c r="AE25" s="61">
        <f>IF(AND(YEAR(DecSun1+25)=$A$1,MONTH(DecSun1+25)=12),DecSun1+25, "")</f>
        <v>41634</v>
      </c>
      <c r="AF25" s="61">
        <f>IF(AND(YEAR(DecSun1+26)=$A$1,MONTH(DecSun1+26)=12),DecSun1+26, "")</f>
        <v>41635</v>
      </c>
      <c r="AG25" s="61">
        <f>IF(AND(YEAR(DecSun1+27)=$A$1,MONTH(DecSun1+27)=12),DecSun1+27, "")</f>
        <v>41636</v>
      </c>
    </row>
    <row r="26" spans="2:34" ht="15.95" customHeight="1" x14ac:dyDescent="0.2">
      <c r="C26" s="61">
        <f>IF(AND(YEAR(MarSun1+28)=$A$1,MONTH(MarSun1+28)=3),MarSun1+28, "")</f>
        <v>41357</v>
      </c>
      <c r="D26" s="61">
        <f>IF(AND(YEAR(MarSun1+29)=$A$1,MONTH(MarSun1+29)=3),MarSun1+29, "")</f>
        <v>41358</v>
      </c>
      <c r="E26" s="61">
        <f>IF(AND(YEAR(MarSun1+30)=$A$1,MONTH(MarSun1+30)=3),MarSun1+30, "")</f>
        <v>41359</v>
      </c>
      <c r="F26" s="61">
        <f>IF(AND(YEAR(MarSun1+31)=$A$1,MONTH(MarSun1+31)=3),MarSun1+31, "")</f>
        <v>41360</v>
      </c>
      <c r="G26" s="61">
        <f>IF(AND(YEAR(MarSun1+32)=$A$1,MONTH(MarSun1+32)=3),MarSun1+32, "")</f>
        <v>41361</v>
      </c>
      <c r="H26" s="61">
        <f>IF(AND(YEAR(MarSun1+33)=$A$1,MONTH(MarSun1+33)=3),MarSun1+33, "")</f>
        <v>41362</v>
      </c>
      <c r="I26" s="61">
        <f>IF(AND(YEAR(MarSun1+34)=$A$1,MONTH(MarSun1+34)=3),MarSun1+34, "")</f>
        <v>41363</v>
      </c>
      <c r="K26" s="61">
        <f>IF(AND(YEAR(JunSun1+28)=$A$1,MONTH(JunSun1+28)=6),JunSun1+28, "")</f>
        <v>41448</v>
      </c>
      <c r="L26" s="61">
        <f>IF(AND(YEAR(JunSun1+29)=$A$1,MONTH(JunSun1+29)=6),JunSun1+29, "")</f>
        <v>41449</v>
      </c>
      <c r="M26" s="61">
        <f>IF(AND(YEAR(JunSun1+30)=$A$1,MONTH(JunSun1+30)=6),JunSun1+30, "")</f>
        <v>41450</v>
      </c>
      <c r="N26" s="61">
        <f>IF(AND(YEAR(JunSun1+31)=$A$1,MONTH(JunSun1+31)=6),JunSun1+31, "")</f>
        <v>41451</v>
      </c>
      <c r="O26" s="61">
        <f>IF(AND(YEAR(JunSun1+32)=$A$1,MONTH(JunSun1+32)=6),JunSun1+32, "")</f>
        <v>41452</v>
      </c>
      <c r="P26" s="61">
        <f>IF(AND(YEAR(JunSun1+33)=$A$1,MONTH(JunSun1+33)=6),JunSun1+33, "")</f>
        <v>41453</v>
      </c>
      <c r="Q26" s="61">
        <f>IF(AND(YEAR(JunSun1+34)=$A$1,MONTH(JunSun1+34)=6),JunSun1+34, "")</f>
        <v>41454</v>
      </c>
      <c r="S26" s="61">
        <f>IF(AND(YEAR(SepSun1+28)=$A$1,MONTH(SepSun1+28)=9),SepSun1+28, "")</f>
        <v>41546</v>
      </c>
      <c r="T26" s="61">
        <f>IF(AND(YEAR(SepSun1+29)=$A$1,MONTH(SepSun1+29)=9),SepSun1+29, "")</f>
        <v>41547</v>
      </c>
      <c r="U26" s="61" t="str">
        <f>IF(AND(YEAR(SepSun1+30)=$A$1,MONTH(SepSun1+30)=9),SepSun1+30, "")</f>
        <v/>
      </c>
      <c r="V26" s="61" t="str">
        <f>IF(AND(YEAR(SepSun1+31)=$A$1,MONTH(SepSun1+31)=9),SepSun1+31, "")</f>
        <v/>
      </c>
      <c r="W26" s="61" t="str">
        <f>IF(AND(YEAR(SepSun1+32)=$A$1,MONTH(SepSun1+32)=9),SepSun1+32, "")</f>
        <v/>
      </c>
      <c r="X26" s="61" t="str">
        <f>IF(AND(YEAR(SepSun1+33)=$A$1,MONTH(SepSun1+33)=9),SepSun1+33, "")</f>
        <v/>
      </c>
      <c r="Y26" s="61" t="str">
        <f>IF(AND(YEAR(SepSun1+34)=$A$1,MONTH(SepSun1+34)=9),SepSun1+34, "")</f>
        <v/>
      </c>
      <c r="AA26" s="61">
        <f>IF(AND(YEAR(DecSun1+28)=$A$1,MONTH(DecSun1+28)=12),DecSun1+28, "")</f>
        <v>41637</v>
      </c>
      <c r="AB26" s="61">
        <f>IF(AND(YEAR(DecSun1+29)=$A$1,MONTH(DecSun1+29)=12),DecSun1+29, "")</f>
        <v>41638</v>
      </c>
      <c r="AC26" s="61">
        <f>IF(AND(YEAR(DecSun1+30)=$A$1,MONTH(DecSun1+30)=12),DecSun1+30, "")</f>
        <v>41639</v>
      </c>
      <c r="AD26" s="61" t="str">
        <f>IF(AND(YEAR(DecSun1+31)=$A$1,MONTH(DecSun1+31)=12),DecSun1+31, "")</f>
        <v/>
      </c>
      <c r="AE26" s="61" t="str">
        <f>IF(AND(YEAR(DecSun1+32)=$A$1,MONTH(DecSun1+32)=12),DecSun1+32, "")</f>
        <v/>
      </c>
      <c r="AF26" s="61" t="str">
        <f>IF(AND(YEAR(DecSun1+33)=$A$1,MONTH(DecSun1+33)=12),DecSun1+33, "")</f>
        <v/>
      </c>
      <c r="AG26" s="61" t="str">
        <f>IF(AND(YEAR(DecSun1+34)=$A$1,MONTH(DecSun1+34)=12),DecSun1+34, "")</f>
        <v/>
      </c>
    </row>
    <row r="27" spans="2:34" ht="15.95" customHeight="1" x14ac:dyDescent="0.2">
      <c r="C27" s="61">
        <f>IF(AND(YEAR(MarSun1+35)=$A$1,MONTH(MarSun1+35)=3),MarSun1+35, "")</f>
        <v>41364</v>
      </c>
      <c r="D27" s="61" t="str">
        <f>IF(AND(YEAR(MarSun1+36)=$A$1,MONTH(MarSun1+36)=3),MarSun1+36, "")</f>
        <v/>
      </c>
      <c r="E27" s="61" t="str">
        <f>IF(AND(YEAR(MarSun1+37)=$A$1,MONTH(MarSun1+37)=3),MarSun1+37, "")</f>
        <v/>
      </c>
      <c r="F27" s="61" t="str">
        <f>IF(AND(YEAR(MarSun1+38)=$A$1,MONTH(MarSun1+38)=3),MarSun1+38, "")</f>
        <v/>
      </c>
      <c r="G27" s="61" t="str">
        <f>IF(AND(YEAR(MarSun1+39)=$A$1,MONTH(MarSun1+39)=3),MarSun1+39, "")</f>
        <v/>
      </c>
      <c r="H27" s="61" t="str">
        <f>IF(AND(YEAR(MarSun1+40)=$A$1,MONTH(MarSun1+40)=3),MarSun1+40, "")</f>
        <v/>
      </c>
      <c r="I27" s="61" t="str">
        <f>IF(AND(YEAR(MarSun1+41)=$A$1,MONTH(MarSun1+41)=3),MarSun1+41, "")</f>
        <v/>
      </c>
      <c r="K27" s="61">
        <f>IF(AND(YEAR(JunSun1+35)=$A$1,MONTH(JunSun1+35)=6),JunSun1+35, "")</f>
        <v>41455</v>
      </c>
      <c r="L27" s="61" t="str">
        <f>IF(AND(YEAR(JunSun1+36)=$A$1,MONTH(JunSun1+36)=6),JunSun1+36, "")</f>
        <v/>
      </c>
      <c r="M27" s="61" t="str">
        <f>IF(AND(YEAR(JunSun1+37)=$A$1,MONTH(JunSun1+37)=6),JunSun1+37, "")</f>
        <v/>
      </c>
      <c r="N27" s="61" t="str">
        <f>IF(AND(YEAR(JunSun1+38)=$A$1,MONTH(JunSun1+38)=6),JunSun1+38, "")</f>
        <v/>
      </c>
      <c r="O27" s="61" t="str">
        <f>IF(AND(YEAR(JunSun1+39)=$A$1,MONTH(JunSun1+39)=6),JunSun1+39, "")</f>
        <v/>
      </c>
      <c r="P27" s="61" t="str">
        <f>IF(AND(YEAR(JunSun1+40)=$A$1,MONTH(JunSun1+40)=6),JunSun1+40, "")</f>
        <v/>
      </c>
      <c r="Q27" s="61" t="str">
        <f>IF(AND(YEAR(JunSun1+41)=$A$1,MONTH(JunSun1+41)=6),JunSun1+41, "")</f>
        <v/>
      </c>
      <c r="S27" s="61" t="str">
        <f>IF(AND(YEAR(SepSun1+35)=$A$1,MONTH(SepSun1+35)=9),SepSun1+35, "")</f>
        <v/>
      </c>
      <c r="T27" s="61" t="str">
        <f>IF(AND(YEAR(SepSun1+36)=$A$1,MONTH(SepSun1+36)=9),SepSun1+36, "")</f>
        <v/>
      </c>
      <c r="U27" s="61" t="str">
        <f>IF(AND(YEAR(SepSun1+37)=$A$1,MONTH(SepSun1+37)=9),SepSun1+37, "")</f>
        <v/>
      </c>
      <c r="V27" s="61" t="str">
        <f>IF(AND(YEAR(SepSun1+38)=$A$1,MONTH(SepSun1+38)=9),SepSun1+38, "")</f>
        <v/>
      </c>
      <c r="W27" s="61" t="str">
        <f>IF(AND(YEAR(SepSun1+39)=$A$1,MONTH(SepSun1+39)=9),SepSun1+39, "")</f>
        <v/>
      </c>
      <c r="X27" s="61" t="str">
        <f>IF(AND(YEAR(SepSun1+40)=$A$1,MONTH(SepSun1+40)=9),SepSun1+40, "")</f>
        <v/>
      </c>
      <c r="Y27" s="61" t="str">
        <f>IF(AND(YEAR(SepSun1+41)=$A$1,MONTH(SepSun1+41)=9),SepSun1+41, "")</f>
        <v/>
      </c>
      <c r="AA27" s="61" t="str">
        <f>IF(AND(YEAR(DecSun1+35)=$A$1,MONTH(DecSun1+35)=12),DecSun1+35, "")</f>
        <v/>
      </c>
      <c r="AB27" s="61" t="str">
        <f>IF(AND(YEAR(DecSun1+36)=$A$1,MONTH(DecSun1+36)=12),DecSun1+36, "")</f>
        <v/>
      </c>
      <c r="AC27" s="61" t="str">
        <f>IF(AND(YEAR(DecSun1+37)=$A$1,MONTH(DecSun1+37)=12),DecSun1+37, "")</f>
        <v/>
      </c>
      <c r="AD27" s="61" t="str">
        <f>IF(AND(YEAR(DecSun1+38)=$A$1,MONTH(DecSun1+38)=12),DecSun1+38, "")</f>
        <v/>
      </c>
      <c r="AE27" s="61" t="str">
        <f>IF(AND(YEAR(DecSun1+39)=$A$1,MONTH(DecSun1+39)=12),DecSun1+39, "")</f>
        <v/>
      </c>
      <c r="AF27" s="61" t="str">
        <f>IF(AND(YEAR(DecSun1+40)=$A$1,MONTH(DecSun1+40)=12),DecSun1+40, "")</f>
        <v/>
      </c>
      <c r="AG27" s="61" t="str">
        <f>IF(AND(YEAR(DecSun1+41)=$A$1,MONTH(DecSun1+41)=12),DecSun1+41, "")</f>
        <v/>
      </c>
    </row>
    <row r="28" spans="2:34" x14ac:dyDescent="0.2">
      <c r="B28" s="65"/>
      <c r="C28" s="65"/>
      <c r="D28" s="65"/>
      <c r="E28" s="65"/>
      <c r="F28" s="65"/>
      <c r="G28" s="65"/>
      <c r="H28" s="65"/>
      <c r="I28" s="65"/>
      <c r="K28" s="65"/>
      <c r="L28" s="65"/>
      <c r="M28" s="65"/>
      <c r="N28" s="65"/>
      <c r="O28" s="65"/>
      <c r="P28" s="65"/>
      <c r="Q28" s="65"/>
      <c r="S28" s="65"/>
      <c r="T28" s="65"/>
      <c r="U28" s="65"/>
      <c r="V28" s="65"/>
      <c r="W28" s="65"/>
      <c r="X28" s="65"/>
      <c r="Y28" s="65"/>
      <c r="AA28" s="65"/>
      <c r="AB28" s="65"/>
      <c r="AC28" s="65"/>
      <c r="AD28" s="65"/>
      <c r="AE28" s="65"/>
      <c r="AF28" s="65"/>
      <c r="AG28" s="65"/>
    </row>
    <row r="29" spans="2:34" x14ac:dyDescent="0.2">
      <c r="B29" s="65"/>
      <c r="C29" s="65"/>
      <c r="D29" s="65"/>
      <c r="E29" s="65"/>
      <c r="F29" s="65"/>
      <c r="G29" s="65"/>
      <c r="H29" s="65"/>
      <c r="I29" s="65"/>
      <c r="K29" s="65"/>
      <c r="L29" s="65"/>
      <c r="M29" s="65"/>
      <c r="N29" s="65"/>
      <c r="O29" s="65"/>
      <c r="P29" s="65"/>
      <c r="Q29" s="65"/>
      <c r="S29" s="65"/>
      <c r="T29" s="65"/>
      <c r="U29" s="65"/>
      <c r="V29" s="65"/>
      <c r="W29" s="65"/>
      <c r="X29" s="65"/>
      <c r="Y29" s="65"/>
      <c r="AA29" s="65"/>
      <c r="AB29" s="65"/>
      <c r="AC29" s="65"/>
      <c r="AD29" s="65"/>
      <c r="AE29" s="65"/>
      <c r="AF29" s="65"/>
      <c r="AG29" s="65"/>
    </row>
    <row r="30" spans="2:34" x14ac:dyDescent="0.2">
      <c r="B30" s="65"/>
      <c r="C30" s="65"/>
      <c r="D30" s="65"/>
      <c r="E30" s="65"/>
      <c r="F30" s="65"/>
      <c r="G30" s="65"/>
      <c r="H30" s="65"/>
      <c r="I30" s="65"/>
      <c r="K30" s="65"/>
      <c r="L30" s="65"/>
      <c r="M30" s="65"/>
      <c r="N30" s="65"/>
      <c r="O30" s="65"/>
      <c r="P30" s="65"/>
      <c r="Q30" s="65"/>
      <c r="S30" s="65"/>
      <c r="T30" s="65"/>
      <c r="U30" s="65"/>
      <c r="V30" s="65"/>
      <c r="W30" s="65"/>
      <c r="X30" s="65"/>
      <c r="Y30" s="65"/>
      <c r="AA30" s="65"/>
      <c r="AB30" s="65"/>
      <c r="AC30" s="65"/>
      <c r="AD30" s="65"/>
      <c r="AE30" s="65"/>
      <c r="AF30" s="65"/>
      <c r="AG30" s="65"/>
    </row>
    <row r="31" spans="2:34" x14ac:dyDescent="0.2">
      <c r="B31" s="65"/>
      <c r="C31" s="65"/>
      <c r="D31" s="65"/>
      <c r="E31" s="65"/>
      <c r="F31" s="65"/>
      <c r="G31" s="65"/>
      <c r="H31" s="65"/>
      <c r="I31" s="65"/>
      <c r="K31" s="65"/>
      <c r="L31" s="65"/>
      <c r="M31" s="65"/>
      <c r="N31" s="65"/>
      <c r="O31" s="65"/>
      <c r="P31" s="65"/>
      <c r="Q31" s="65"/>
      <c r="S31" s="65"/>
      <c r="T31" s="65"/>
      <c r="U31" s="65"/>
      <c r="V31" s="65"/>
      <c r="W31" s="65"/>
      <c r="X31" s="65"/>
      <c r="Y31" s="65"/>
      <c r="AA31" s="65"/>
      <c r="AB31" s="65"/>
      <c r="AC31" s="65"/>
      <c r="AD31" s="65"/>
      <c r="AE31" s="65"/>
      <c r="AF31" s="65"/>
      <c r="AG31" s="65"/>
    </row>
    <row r="32" spans="2:34" x14ac:dyDescent="0.2">
      <c r="B32" s="65"/>
      <c r="C32" s="65"/>
      <c r="D32" s="65"/>
      <c r="E32" s="65"/>
      <c r="F32" s="65"/>
      <c r="G32" s="65"/>
      <c r="H32" s="65"/>
      <c r="I32" s="65"/>
      <c r="K32" s="65"/>
      <c r="L32" s="65"/>
      <c r="M32" s="65"/>
      <c r="N32" s="65"/>
      <c r="O32" s="65"/>
      <c r="P32" s="65"/>
      <c r="Q32" s="65"/>
      <c r="S32" s="65"/>
      <c r="T32" s="65"/>
      <c r="U32" s="65"/>
      <c r="V32" s="65"/>
      <c r="W32" s="65"/>
      <c r="X32" s="65"/>
      <c r="Y32" s="65"/>
      <c r="AA32" s="65"/>
      <c r="AB32" s="65"/>
      <c r="AC32" s="65"/>
      <c r="AD32" s="65"/>
      <c r="AE32" s="65"/>
      <c r="AF32" s="65"/>
      <c r="AG32" s="65"/>
    </row>
    <row r="33" spans="2:33" x14ac:dyDescent="0.2">
      <c r="B33" s="65"/>
      <c r="C33" s="65"/>
      <c r="D33" s="65"/>
      <c r="E33" s="65"/>
      <c r="F33" s="65"/>
      <c r="G33" s="65"/>
      <c r="H33" s="65"/>
      <c r="I33" s="65"/>
      <c r="K33" s="65"/>
      <c r="L33" s="65"/>
      <c r="M33" s="65"/>
      <c r="N33" s="65"/>
      <c r="O33" s="65"/>
      <c r="P33" s="65"/>
      <c r="Q33" s="65"/>
      <c r="S33" s="65"/>
      <c r="T33" s="65"/>
      <c r="U33" s="65"/>
      <c r="V33" s="65"/>
      <c r="W33" s="65"/>
      <c r="X33" s="65"/>
      <c r="Y33" s="65"/>
      <c r="AA33" s="65"/>
      <c r="AB33" s="65"/>
      <c r="AC33" s="65"/>
      <c r="AD33" s="65"/>
      <c r="AE33" s="65"/>
      <c r="AF33" s="65"/>
      <c r="AG33" s="65"/>
    </row>
  </sheetData>
  <mergeCells count="12">
    <mergeCell ref="C20:I20"/>
    <mergeCell ref="K20:Q20"/>
    <mergeCell ref="S20:Y20"/>
    <mergeCell ref="AA20:AG20"/>
    <mergeCell ref="C2:I2"/>
    <mergeCell ref="K2:Q2"/>
    <mergeCell ref="S2:Y2"/>
    <mergeCell ref="AA2:AG2"/>
    <mergeCell ref="C11:I11"/>
    <mergeCell ref="K11:Q11"/>
    <mergeCell ref="S11:Y11"/>
    <mergeCell ref="AA11:AG11"/>
  </mergeCells>
  <dataValidations count="1">
    <dataValidation type="whole" allowBlank="1" showInputMessage="1" showErrorMessage="1" sqref="A1:B1">
      <formula1>1900</formula1>
      <formula2>9999</formula2>
    </dataValidation>
  </dataValidations>
  <printOptions horizontalCentered="1" verticalCentered="1"/>
  <pageMargins left="0.5" right="0.5" top="0.5" bottom="0.5" header="0.5" footer="0.5"/>
  <pageSetup orientation="landscape"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pinner 1">
              <controlPr defaultSize="0" print="0" autoPict="0">
                <anchor moveWithCells="1">
                  <from>
                    <xdr:col>1</xdr:col>
                    <xdr:colOff>9525</xdr:colOff>
                    <xdr:row>0</xdr:row>
                    <xdr:rowOff>0</xdr:rowOff>
                  </from>
                  <to>
                    <xdr:col>1</xdr:col>
                    <xdr:colOff>209550</xdr:colOff>
                    <xdr:row>1</xdr:row>
                    <xdr:rowOff>9525</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0" tint="-4.9989318521683403E-2"/>
    <outlinePr summaryBelow="0"/>
  </sheetPr>
  <dimension ref="A1:H63"/>
  <sheetViews>
    <sheetView showGridLines="0" showWhiteSpace="0" view="pageLayout" zoomScaleNormal="100" workbookViewId="0">
      <selection activeCell="B65" sqref="B65"/>
    </sheetView>
  </sheetViews>
  <sheetFormatPr defaultRowHeight="15" outlineLevelRow="1" x14ac:dyDescent="0.25"/>
  <cols>
    <col min="1" max="1" width="7.140625" style="1" bestFit="1" customWidth="1"/>
    <col min="2" max="2" width="46.5703125" style="2" customWidth="1"/>
    <col min="3" max="3" width="16" customWidth="1"/>
    <col min="4" max="4" width="8.85546875" customWidth="1"/>
    <col min="5" max="5" width="8.28515625" customWidth="1"/>
    <col min="6" max="6" width="8.140625" customWidth="1"/>
    <col min="7" max="7" width="30.7109375" style="2" customWidth="1"/>
    <col min="8" max="8" width="4.85546875" style="3" customWidth="1"/>
  </cols>
  <sheetData>
    <row r="1" spans="1:8" ht="4.5" customHeight="1" x14ac:dyDescent="0.25">
      <c r="A1" s="140"/>
      <c r="B1" s="141"/>
      <c r="C1" s="141"/>
      <c r="D1" s="141"/>
      <c r="E1" s="141"/>
      <c r="F1" s="141"/>
      <c r="G1" s="141"/>
      <c r="H1" s="142"/>
    </row>
    <row r="2" spans="1:8" ht="60.75" customHeight="1" x14ac:dyDescent="0.25">
      <c r="A2" s="15" t="s">
        <v>0</v>
      </c>
      <c r="B2" s="16" t="s">
        <v>1</v>
      </c>
      <c r="C2" s="27" t="s">
        <v>2</v>
      </c>
      <c r="D2" s="18" t="s">
        <v>3</v>
      </c>
      <c r="E2" s="18" t="s">
        <v>4</v>
      </c>
      <c r="F2" s="18" t="s">
        <v>5</v>
      </c>
      <c r="G2" s="16" t="s">
        <v>6</v>
      </c>
      <c r="H2" s="28" t="s">
        <v>31</v>
      </c>
    </row>
    <row r="3" spans="1:8" ht="4.5" customHeight="1" x14ac:dyDescent="0.25">
      <c r="A3" s="143"/>
      <c r="B3" s="144"/>
      <c r="C3" s="144"/>
      <c r="D3" s="144"/>
      <c r="E3" s="144"/>
      <c r="F3" s="144"/>
      <c r="G3" s="144"/>
      <c r="H3" s="145"/>
    </row>
    <row r="4" spans="1:8" x14ac:dyDescent="0.25">
      <c r="A4" s="13">
        <v>1</v>
      </c>
      <c r="B4" s="146" t="s">
        <v>116</v>
      </c>
      <c r="C4" s="147"/>
      <c r="D4" s="147"/>
      <c r="E4" s="147"/>
      <c r="F4" s="147"/>
      <c r="G4" s="147"/>
      <c r="H4" s="148"/>
    </row>
    <row r="5" spans="1:8" ht="16.5" outlineLevel="1" x14ac:dyDescent="0.25">
      <c r="A5" s="7">
        <v>1.1000000000000001</v>
      </c>
      <c r="B5" s="31" t="s">
        <v>106</v>
      </c>
      <c r="C5" s="4" t="s">
        <v>112</v>
      </c>
      <c r="D5" s="75">
        <v>41379</v>
      </c>
      <c r="E5" s="4"/>
      <c r="F5" s="4"/>
      <c r="G5" s="5"/>
      <c r="H5" s="6"/>
    </row>
    <row r="6" spans="1:8" ht="16.5" outlineLevel="1" x14ac:dyDescent="0.25">
      <c r="A6" s="7">
        <v>1.2</v>
      </c>
      <c r="B6" s="31" t="s">
        <v>47</v>
      </c>
      <c r="C6" s="4" t="s">
        <v>111</v>
      </c>
      <c r="D6" s="75">
        <v>41379</v>
      </c>
      <c r="E6" s="4"/>
      <c r="F6" s="4"/>
      <c r="G6" s="5"/>
      <c r="H6" s="6"/>
    </row>
    <row r="7" spans="1:8" ht="16.5" outlineLevel="1" x14ac:dyDescent="0.25">
      <c r="A7" s="7">
        <v>1.3</v>
      </c>
      <c r="B7" s="31" t="s">
        <v>107</v>
      </c>
      <c r="C7" s="4" t="s">
        <v>93</v>
      </c>
      <c r="D7" s="75">
        <v>41380</v>
      </c>
      <c r="E7" s="4"/>
      <c r="F7" s="4"/>
      <c r="G7" s="5"/>
      <c r="H7" s="6"/>
    </row>
    <row r="8" spans="1:8" ht="16.5" outlineLevel="1" x14ac:dyDescent="0.25">
      <c r="A8" s="1">
        <v>1.4</v>
      </c>
      <c r="B8" s="31" t="s">
        <v>43</v>
      </c>
      <c r="C8" s="4" t="s">
        <v>93</v>
      </c>
      <c r="D8" s="75">
        <v>41384</v>
      </c>
      <c r="E8" s="4"/>
      <c r="F8" s="4"/>
      <c r="G8" s="5"/>
      <c r="H8" s="6"/>
    </row>
    <row r="9" spans="1:8" ht="16.5" outlineLevel="1" x14ac:dyDescent="0.25">
      <c r="A9" s="7">
        <v>1.5</v>
      </c>
      <c r="B9" s="31" t="s">
        <v>44</v>
      </c>
      <c r="C9" s="4" t="s">
        <v>111</v>
      </c>
      <c r="D9" s="75">
        <v>41377</v>
      </c>
      <c r="E9" s="4"/>
      <c r="F9" s="4"/>
      <c r="G9" s="5"/>
      <c r="H9" s="6"/>
    </row>
    <row r="10" spans="1:8" ht="33" outlineLevel="1" x14ac:dyDescent="0.25">
      <c r="A10" s="7">
        <v>1.6</v>
      </c>
      <c r="B10" s="31" t="s">
        <v>108</v>
      </c>
      <c r="C10" s="4" t="s">
        <v>93</v>
      </c>
      <c r="D10" s="75">
        <v>41402</v>
      </c>
      <c r="E10" s="4"/>
      <c r="F10" s="4"/>
      <c r="G10" s="5"/>
      <c r="H10" s="6"/>
    </row>
    <row r="11" spans="1:8" ht="33" outlineLevel="1" x14ac:dyDescent="0.25">
      <c r="A11" s="7">
        <v>1.7</v>
      </c>
      <c r="B11" s="32" t="s">
        <v>103</v>
      </c>
      <c r="C11" s="4" t="s">
        <v>111</v>
      </c>
      <c r="D11" s="75">
        <v>41409</v>
      </c>
      <c r="E11" s="4"/>
      <c r="F11" s="4"/>
      <c r="G11" s="5"/>
      <c r="H11" s="6"/>
    </row>
    <row r="12" spans="1:8" ht="16.5" outlineLevel="1" x14ac:dyDescent="0.25">
      <c r="A12" s="7">
        <v>1.8</v>
      </c>
      <c r="B12" s="31" t="s">
        <v>100</v>
      </c>
      <c r="C12" s="4" t="s">
        <v>93</v>
      </c>
      <c r="D12" s="75">
        <v>41416</v>
      </c>
      <c r="E12" s="4"/>
      <c r="F12" s="4"/>
      <c r="G12" s="5"/>
      <c r="H12" s="6"/>
    </row>
    <row r="13" spans="1:8" ht="16.5" outlineLevel="1" x14ac:dyDescent="0.25">
      <c r="A13" s="7">
        <v>1.9</v>
      </c>
      <c r="B13" s="31" t="s">
        <v>104</v>
      </c>
      <c r="C13" s="4" t="s">
        <v>93</v>
      </c>
      <c r="D13" s="75">
        <v>41416</v>
      </c>
      <c r="E13" s="4"/>
      <c r="F13" s="4"/>
      <c r="G13" s="5"/>
      <c r="H13" s="6"/>
    </row>
    <row r="14" spans="1:8" ht="16.5" outlineLevel="1" x14ac:dyDescent="0.25">
      <c r="A14" s="12">
        <v>1.1000000000000001</v>
      </c>
      <c r="B14" s="31" t="s">
        <v>105</v>
      </c>
      <c r="C14" s="4" t="s">
        <v>94</v>
      </c>
      <c r="D14" s="75">
        <v>41418</v>
      </c>
      <c r="E14" s="4"/>
      <c r="F14" s="4"/>
      <c r="G14" s="5"/>
      <c r="H14" s="6"/>
    </row>
    <row r="15" spans="1:8" ht="16.5" outlineLevel="1" x14ac:dyDescent="0.25">
      <c r="A15" s="12">
        <v>1.1100000000000001</v>
      </c>
      <c r="B15" s="31" t="s">
        <v>109</v>
      </c>
      <c r="C15" s="4" t="s">
        <v>111</v>
      </c>
      <c r="D15" s="75">
        <v>41430</v>
      </c>
      <c r="E15" s="4"/>
      <c r="F15" s="4"/>
      <c r="G15" s="5"/>
      <c r="H15" s="6"/>
    </row>
    <row r="16" spans="1:8" ht="16.5" outlineLevel="1" x14ac:dyDescent="0.25">
      <c r="A16" s="12">
        <v>1.1200000000000001</v>
      </c>
      <c r="B16" s="32" t="s">
        <v>99</v>
      </c>
      <c r="C16" s="4" t="s">
        <v>111</v>
      </c>
      <c r="D16" s="75">
        <v>41437</v>
      </c>
      <c r="E16" s="4"/>
      <c r="F16" s="4"/>
      <c r="G16" s="5"/>
      <c r="H16" s="6"/>
    </row>
    <row r="17" spans="1:8" ht="16.5" outlineLevel="1" x14ac:dyDescent="0.25">
      <c r="A17" s="12">
        <v>1.1299999999999999</v>
      </c>
      <c r="B17" s="31" t="s">
        <v>45</v>
      </c>
      <c r="C17" s="4" t="s">
        <v>93</v>
      </c>
      <c r="D17" s="75">
        <v>41438</v>
      </c>
      <c r="E17" s="4"/>
      <c r="F17" s="4"/>
      <c r="G17" s="5"/>
      <c r="H17" s="6"/>
    </row>
    <row r="18" spans="1:8" ht="16.5" outlineLevel="1" x14ac:dyDescent="0.25">
      <c r="A18" s="12">
        <v>1.1399999999999999</v>
      </c>
      <c r="B18" s="32" t="s">
        <v>95</v>
      </c>
      <c r="C18" s="4" t="s">
        <v>93</v>
      </c>
      <c r="D18" s="75">
        <v>41446</v>
      </c>
      <c r="E18" s="4"/>
      <c r="F18" s="4"/>
      <c r="G18" s="5"/>
      <c r="H18" s="6"/>
    </row>
    <row r="19" spans="1:8" ht="16.5" outlineLevel="1" x14ac:dyDescent="0.25">
      <c r="A19" s="12">
        <v>1.1499999999999999</v>
      </c>
      <c r="B19" s="32" t="s">
        <v>101</v>
      </c>
      <c r="C19" s="4" t="s">
        <v>93</v>
      </c>
      <c r="D19" s="75">
        <v>41451</v>
      </c>
      <c r="E19" s="4"/>
      <c r="F19" s="4"/>
      <c r="G19" s="5"/>
      <c r="H19" s="6"/>
    </row>
    <row r="20" spans="1:8" ht="16.5" outlineLevel="1" x14ac:dyDescent="0.25">
      <c r="A20" s="12">
        <v>1.1599999999999999</v>
      </c>
      <c r="B20" s="31" t="s">
        <v>113</v>
      </c>
      <c r="C20" s="4" t="s">
        <v>93</v>
      </c>
      <c r="D20" s="75">
        <v>41453</v>
      </c>
      <c r="E20" s="4"/>
      <c r="F20" s="4"/>
      <c r="G20" s="5"/>
      <c r="H20" s="6"/>
    </row>
    <row r="21" spans="1:8" ht="16.5" outlineLevel="1" x14ac:dyDescent="0.25">
      <c r="A21" s="12">
        <v>1.17</v>
      </c>
      <c r="B21" s="31" t="s">
        <v>114</v>
      </c>
      <c r="C21" s="4" t="s">
        <v>93</v>
      </c>
      <c r="D21" s="75">
        <v>41456</v>
      </c>
      <c r="E21" s="4"/>
      <c r="F21" s="4"/>
      <c r="G21" s="5"/>
      <c r="H21" s="6"/>
    </row>
    <row r="22" spans="1:8" ht="16.5" outlineLevel="1" x14ac:dyDescent="0.25">
      <c r="A22" s="12">
        <v>1.18</v>
      </c>
      <c r="B22" s="31" t="s">
        <v>46</v>
      </c>
      <c r="C22" s="4" t="s">
        <v>93</v>
      </c>
      <c r="D22" s="75">
        <v>41460</v>
      </c>
      <c r="E22" s="74"/>
      <c r="F22" s="4"/>
      <c r="G22" s="5"/>
      <c r="H22" s="6"/>
    </row>
    <row r="23" spans="1:8" ht="4.5" customHeight="1" x14ac:dyDescent="0.25">
      <c r="A23" s="136"/>
      <c r="B23" s="136"/>
      <c r="C23" s="136"/>
      <c r="D23" s="136"/>
      <c r="E23" s="136"/>
      <c r="F23" s="136"/>
      <c r="G23" s="136"/>
      <c r="H23" s="136"/>
    </row>
    <row r="24" spans="1:8" x14ac:dyDescent="0.25">
      <c r="A24" s="13">
        <v>2</v>
      </c>
      <c r="B24" s="150" t="s">
        <v>96</v>
      </c>
      <c r="C24" s="151"/>
      <c r="D24" s="151"/>
      <c r="E24" s="151"/>
      <c r="F24" s="151"/>
      <c r="G24" s="151"/>
      <c r="H24" s="152"/>
    </row>
    <row r="25" spans="1:8" ht="16.5" outlineLevel="1" x14ac:dyDescent="0.25">
      <c r="A25" s="7">
        <v>2.1</v>
      </c>
      <c r="B25" s="32" t="s">
        <v>110</v>
      </c>
      <c r="C25" s="4" t="s">
        <v>112</v>
      </c>
      <c r="D25" s="75">
        <v>41379</v>
      </c>
      <c r="E25" s="4"/>
      <c r="F25" s="4"/>
      <c r="G25" s="5"/>
      <c r="H25" s="6"/>
    </row>
    <row r="26" spans="1:8" ht="16.5" outlineLevel="1" x14ac:dyDescent="0.25">
      <c r="A26" s="7">
        <v>2.2000000000000002</v>
      </c>
      <c r="B26" s="31" t="s">
        <v>97</v>
      </c>
      <c r="C26" s="4" t="s">
        <v>93</v>
      </c>
      <c r="D26" s="75">
        <v>41460</v>
      </c>
      <c r="E26" s="4"/>
      <c r="F26" s="4"/>
      <c r="G26" s="5"/>
      <c r="H26" s="6"/>
    </row>
    <row r="27" spans="1:8" ht="16.5" outlineLevel="1" x14ac:dyDescent="0.25">
      <c r="A27" s="7">
        <v>2.2999999999999998</v>
      </c>
      <c r="B27" s="32" t="s">
        <v>102</v>
      </c>
      <c r="C27" s="4" t="s">
        <v>111</v>
      </c>
      <c r="D27" s="75">
        <v>41466</v>
      </c>
      <c r="E27" s="4"/>
      <c r="F27" s="4"/>
      <c r="G27" s="5"/>
      <c r="H27" s="6"/>
    </row>
    <row r="28" spans="1:8" ht="16.5" outlineLevel="1" x14ac:dyDescent="0.25">
      <c r="A28" s="7">
        <v>2.4</v>
      </c>
      <c r="B28" s="31" t="s">
        <v>45</v>
      </c>
      <c r="C28" s="4" t="s">
        <v>93</v>
      </c>
      <c r="D28" s="75">
        <v>41469</v>
      </c>
      <c r="E28" s="4"/>
      <c r="F28" s="4"/>
      <c r="G28" s="5"/>
      <c r="H28" s="6"/>
    </row>
    <row r="29" spans="1:8" ht="16.5" outlineLevel="1" x14ac:dyDescent="0.25">
      <c r="A29" s="7">
        <v>2.5</v>
      </c>
      <c r="B29" s="32" t="s">
        <v>98</v>
      </c>
      <c r="C29" s="4" t="s">
        <v>93</v>
      </c>
      <c r="D29" s="75">
        <v>41472</v>
      </c>
      <c r="E29" s="4"/>
      <c r="F29" s="4"/>
      <c r="G29" s="5"/>
      <c r="H29" s="6"/>
    </row>
    <row r="30" spans="1:8" ht="16.5" outlineLevel="1" x14ac:dyDescent="0.25">
      <c r="A30" s="7">
        <v>2.6</v>
      </c>
      <c r="B30" s="31" t="s">
        <v>115</v>
      </c>
      <c r="C30" s="4" t="s">
        <v>93</v>
      </c>
      <c r="D30" s="75">
        <v>41476</v>
      </c>
      <c r="E30" s="4"/>
      <c r="F30" s="4"/>
      <c r="G30" s="5"/>
      <c r="H30" s="6"/>
    </row>
    <row r="31" spans="1:8" outlineLevel="1" x14ac:dyDescent="0.25">
      <c r="A31" s="7"/>
      <c r="B31" s="5"/>
      <c r="C31" s="4"/>
      <c r="D31" s="75"/>
      <c r="E31" s="4"/>
      <c r="F31" s="4"/>
      <c r="G31" s="5"/>
      <c r="H31" s="6"/>
    </row>
    <row r="32" spans="1:8" ht="4.5" customHeight="1" collapsed="1" x14ac:dyDescent="0.25">
      <c r="A32" s="136"/>
      <c r="B32" s="136"/>
      <c r="C32" s="136"/>
      <c r="D32" s="136"/>
      <c r="E32" s="136"/>
      <c r="F32" s="136"/>
      <c r="G32" s="136"/>
      <c r="H32" s="136"/>
    </row>
    <row r="33" spans="1:8" collapsed="1" x14ac:dyDescent="0.25">
      <c r="A33" s="13">
        <v>3</v>
      </c>
      <c r="B33" s="137"/>
      <c r="C33" s="138"/>
      <c r="D33" s="138"/>
      <c r="E33" s="138"/>
      <c r="F33" s="138"/>
      <c r="G33" s="138"/>
      <c r="H33" s="139"/>
    </row>
    <row r="34" spans="1:8" hidden="1" outlineLevel="1" x14ac:dyDescent="0.25">
      <c r="A34" s="7">
        <v>3.1</v>
      </c>
      <c r="B34" s="5"/>
      <c r="C34" s="4"/>
      <c r="D34" s="4"/>
      <c r="E34" s="4"/>
      <c r="F34" s="4"/>
      <c r="G34" s="5"/>
      <c r="H34" s="6"/>
    </row>
    <row r="35" spans="1:8" hidden="1" outlineLevel="1" x14ac:dyDescent="0.25">
      <c r="A35" s="7">
        <v>3.2</v>
      </c>
      <c r="B35" s="5"/>
      <c r="C35" s="4"/>
      <c r="D35" s="4"/>
      <c r="E35" s="4"/>
      <c r="F35" s="4"/>
      <c r="G35" s="5"/>
      <c r="H35" s="6"/>
    </row>
    <row r="36" spans="1:8" hidden="1" outlineLevel="1" x14ac:dyDescent="0.25">
      <c r="A36" s="7">
        <v>3.3</v>
      </c>
      <c r="B36" s="5"/>
      <c r="C36" s="4"/>
      <c r="D36" s="4"/>
      <c r="E36" s="4"/>
      <c r="F36" s="4"/>
      <c r="G36" s="5"/>
      <c r="H36" s="6"/>
    </row>
    <row r="37" spans="1:8" hidden="1" outlineLevel="1" x14ac:dyDescent="0.25">
      <c r="A37" s="7">
        <v>3.4</v>
      </c>
      <c r="B37" s="5"/>
      <c r="C37" s="4"/>
      <c r="D37" s="4"/>
      <c r="E37" s="4"/>
      <c r="F37" s="4"/>
      <c r="G37" s="5"/>
      <c r="H37" s="6"/>
    </row>
    <row r="38" spans="1:8" hidden="1" outlineLevel="1" x14ac:dyDescent="0.25">
      <c r="A38" s="7">
        <v>3.5</v>
      </c>
      <c r="B38" s="5"/>
      <c r="C38" s="4"/>
      <c r="D38" s="4"/>
      <c r="E38" s="4"/>
      <c r="F38" s="4"/>
      <c r="G38" s="5"/>
      <c r="H38" s="6"/>
    </row>
    <row r="39" spans="1:8" ht="4.5" customHeight="1" collapsed="1" x14ac:dyDescent="0.25">
      <c r="A39" s="136"/>
      <c r="B39" s="136"/>
      <c r="C39" s="136"/>
      <c r="D39" s="136"/>
      <c r="E39" s="136"/>
      <c r="F39" s="136"/>
      <c r="G39" s="136"/>
      <c r="H39" s="136"/>
    </row>
    <row r="40" spans="1:8" collapsed="1" x14ac:dyDescent="0.25">
      <c r="A40" s="13">
        <v>4</v>
      </c>
      <c r="B40" s="137"/>
      <c r="C40" s="138"/>
      <c r="D40" s="138"/>
      <c r="E40" s="138"/>
      <c r="F40" s="138"/>
      <c r="G40" s="138"/>
      <c r="H40" s="139"/>
    </row>
    <row r="41" spans="1:8" hidden="1" outlineLevel="1" x14ac:dyDescent="0.25">
      <c r="A41" s="7">
        <v>4.0999999999999996</v>
      </c>
      <c r="B41" s="5"/>
      <c r="C41" s="4"/>
      <c r="D41" s="4"/>
      <c r="E41" s="4"/>
      <c r="F41" s="4"/>
      <c r="G41" s="5"/>
      <c r="H41" s="6"/>
    </row>
    <row r="42" spans="1:8" hidden="1" outlineLevel="1" x14ac:dyDescent="0.25">
      <c r="A42" s="7">
        <v>4.2</v>
      </c>
      <c r="B42" s="5"/>
      <c r="C42" s="4"/>
      <c r="D42" s="4"/>
      <c r="E42" s="4"/>
      <c r="F42" s="4"/>
      <c r="G42" s="5"/>
      <c r="H42" s="6"/>
    </row>
    <row r="43" spans="1:8" hidden="1" outlineLevel="1" x14ac:dyDescent="0.25">
      <c r="A43" s="7">
        <v>4.3</v>
      </c>
      <c r="B43" s="5"/>
      <c r="C43" s="4"/>
      <c r="D43" s="4"/>
      <c r="E43" s="4"/>
      <c r="F43" s="4"/>
      <c r="G43" s="5"/>
      <c r="H43" s="6"/>
    </row>
    <row r="44" spans="1:8" hidden="1" outlineLevel="1" x14ac:dyDescent="0.25">
      <c r="A44" s="7">
        <v>4.4000000000000004</v>
      </c>
      <c r="B44" s="5"/>
      <c r="C44" s="4"/>
      <c r="D44" s="4"/>
      <c r="E44" s="4"/>
      <c r="F44" s="4"/>
      <c r="G44" s="5"/>
      <c r="H44" s="6"/>
    </row>
    <row r="45" spans="1:8" hidden="1" outlineLevel="1" x14ac:dyDescent="0.25">
      <c r="A45" s="7">
        <v>4.5</v>
      </c>
      <c r="B45" s="5"/>
      <c r="C45" s="4"/>
      <c r="D45" s="4"/>
      <c r="E45" s="4"/>
      <c r="F45" s="4"/>
      <c r="G45" s="5"/>
      <c r="H45" s="6"/>
    </row>
    <row r="46" spans="1:8" ht="4.5" customHeight="1" collapsed="1" x14ac:dyDescent="0.25">
      <c r="A46" s="136"/>
      <c r="B46" s="136"/>
      <c r="C46" s="136"/>
      <c r="D46" s="136"/>
      <c r="E46" s="136"/>
      <c r="F46" s="136"/>
      <c r="G46" s="136"/>
      <c r="H46" s="136"/>
    </row>
    <row r="47" spans="1:8" collapsed="1" x14ac:dyDescent="0.25">
      <c r="A47" s="13">
        <v>5</v>
      </c>
      <c r="B47" s="137"/>
      <c r="C47" s="138"/>
      <c r="D47" s="138"/>
      <c r="E47" s="138"/>
      <c r="F47" s="138"/>
      <c r="G47" s="138"/>
      <c r="H47" s="139"/>
    </row>
    <row r="48" spans="1:8" hidden="1" outlineLevel="1" x14ac:dyDescent="0.25">
      <c r="A48" s="7">
        <v>5.0999999999999996</v>
      </c>
      <c r="B48" s="5"/>
      <c r="C48" s="4"/>
      <c r="D48" s="4"/>
      <c r="E48" s="4"/>
      <c r="F48" s="4"/>
      <c r="G48" s="5"/>
      <c r="H48" s="6"/>
    </row>
    <row r="49" spans="1:8" hidden="1" outlineLevel="1" x14ac:dyDescent="0.25">
      <c r="A49" s="7">
        <v>5.2</v>
      </c>
      <c r="B49" s="5"/>
      <c r="C49" s="4"/>
      <c r="D49" s="4"/>
      <c r="E49" s="4"/>
      <c r="F49" s="4"/>
      <c r="G49" s="5"/>
      <c r="H49" s="6"/>
    </row>
    <row r="50" spans="1:8" hidden="1" outlineLevel="1" x14ac:dyDescent="0.25">
      <c r="A50" s="7">
        <v>5.3</v>
      </c>
      <c r="B50" s="5"/>
      <c r="C50" s="4"/>
      <c r="D50" s="4"/>
      <c r="E50" s="4"/>
      <c r="F50" s="4"/>
      <c r="G50" s="5"/>
      <c r="H50" s="6"/>
    </row>
    <row r="51" spans="1:8" hidden="1" outlineLevel="1" x14ac:dyDescent="0.25">
      <c r="A51" s="7">
        <v>5.4</v>
      </c>
      <c r="B51" s="5"/>
      <c r="C51" s="4"/>
      <c r="D51" s="4"/>
      <c r="E51" s="4"/>
      <c r="F51" s="4"/>
      <c r="G51" s="5"/>
      <c r="H51" s="6"/>
    </row>
    <row r="52" spans="1:8" hidden="1" outlineLevel="1" x14ac:dyDescent="0.25">
      <c r="A52" s="7">
        <v>5.5</v>
      </c>
      <c r="B52" s="5"/>
      <c r="C52" s="4"/>
      <c r="D52" s="4"/>
      <c r="E52" s="4"/>
      <c r="F52" s="4"/>
      <c r="G52" s="5"/>
      <c r="H52" s="6"/>
    </row>
    <row r="53" spans="1:8" ht="4.5" customHeight="1" collapsed="1" x14ac:dyDescent="0.25">
      <c r="A53" s="136"/>
      <c r="B53" s="136"/>
      <c r="C53" s="136"/>
      <c r="D53" s="136"/>
      <c r="E53" s="136"/>
      <c r="F53" s="136"/>
      <c r="G53" s="136"/>
      <c r="H53" s="136"/>
    </row>
    <row r="54" spans="1:8" collapsed="1" x14ac:dyDescent="0.25">
      <c r="A54" s="13">
        <v>6</v>
      </c>
      <c r="B54" s="137"/>
      <c r="C54" s="138"/>
      <c r="D54" s="138"/>
      <c r="E54" s="138"/>
      <c r="F54" s="138"/>
      <c r="G54" s="138"/>
      <c r="H54" s="139"/>
    </row>
    <row r="55" spans="1:8" hidden="1" outlineLevel="1" x14ac:dyDescent="0.25">
      <c r="A55" s="7">
        <v>6.1</v>
      </c>
      <c r="B55" s="5"/>
      <c r="C55" s="4"/>
      <c r="D55" s="4"/>
      <c r="E55" s="4"/>
      <c r="F55" s="4"/>
      <c r="G55" s="5"/>
      <c r="H55" s="6"/>
    </row>
    <row r="56" spans="1:8" hidden="1" outlineLevel="1" x14ac:dyDescent="0.25">
      <c r="A56" s="7">
        <v>6.2</v>
      </c>
      <c r="B56" s="5"/>
      <c r="C56" s="4"/>
      <c r="D56" s="4"/>
      <c r="E56" s="4"/>
      <c r="F56" s="4"/>
      <c r="G56" s="5"/>
      <c r="H56" s="6"/>
    </row>
    <row r="57" spans="1:8" hidden="1" outlineLevel="1" x14ac:dyDescent="0.25">
      <c r="A57" s="7">
        <v>6.3</v>
      </c>
      <c r="B57" s="5"/>
      <c r="C57" s="4"/>
      <c r="D57" s="4"/>
      <c r="E57" s="4"/>
      <c r="F57" s="4"/>
      <c r="G57" s="5"/>
      <c r="H57" s="6"/>
    </row>
    <row r="58" spans="1:8" hidden="1" outlineLevel="1" x14ac:dyDescent="0.25">
      <c r="A58" s="7">
        <v>6.4</v>
      </c>
      <c r="B58" s="5"/>
      <c r="C58" s="4"/>
      <c r="D58" s="4"/>
      <c r="E58" s="4"/>
      <c r="F58" s="4"/>
      <c r="G58" s="5"/>
      <c r="H58" s="6"/>
    </row>
    <row r="59" spans="1:8" hidden="1" outlineLevel="1" x14ac:dyDescent="0.25">
      <c r="A59" s="7">
        <v>6.5</v>
      </c>
      <c r="B59" s="5"/>
      <c r="C59" s="4"/>
      <c r="D59" s="4"/>
      <c r="E59" s="4"/>
      <c r="F59" s="4"/>
      <c r="G59" s="5"/>
      <c r="H59" s="6"/>
    </row>
    <row r="60" spans="1:8" collapsed="1" x14ac:dyDescent="0.25">
      <c r="A60" s="8"/>
      <c r="B60" s="9"/>
      <c r="C60" s="10"/>
      <c r="D60" s="10"/>
      <c r="E60" s="10"/>
      <c r="F60" s="10"/>
      <c r="G60" s="9"/>
      <c r="H60" s="11"/>
    </row>
    <row r="61" spans="1:8" x14ac:dyDescent="0.25">
      <c r="A61" s="8"/>
      <c r="B61" s="9"/>
      <c r="C61" s="10"/>
      <c r="D61" s="10"/>
      <c r="E61" s="10"/>
      <c r="F61" s="10"/>
      <c r="G61" s="9"/>
      <c r="H61" s="11"/>
    </row>
    <row r="62" spans="1:8" x14ac:dyDescent="0.25">
      <c r="A62" s="8"/>
      <c r="B62" s="9"/>
      <c r="C62" s="10"/>
      <c r="D62" s="10"/>
      <c r="E62" s="10"/>
      <c r="F62" s="10"/>
      <c r="G62" s="9"/>
      <c r="H62" s="11"/>
    </row>
    <row r="63" spans="1:8" x14ac:dyDescent="0.25">
      <c r="A63" s="8"/>
      <c r="B63" s="9"/>
      <c r="C63" s="10"/>
      <c r="D63" s="10"/>
      <c r="E63" s="10"/>
      <c r="F63" s="10"/>
      <c r="G63" s="9"/>
      <c r="H63" s="11"/>
    </row>
  </sheetData>
  <customSheetViews>
    <customSheetView guid="{79CFC90F-9797-4F95-B835-584B9BD0A801}" showPageBreaks="1" showGridLines="0" view="pageLayout">
      <selection activeCell="B5" sqref="B5"/>
    </customSheetView>
  </customSheetViews>
  <mergeCells count="13">
    <mergeCell ref="A32:H32"/>
    <mergeCell ref="A1:H1"/>
    <mergeCell ref="A3:H3"/>
    <mergeCell ref="B4:H4"/>
    <mergeCell ref="A23:H23"/>
    <mergeCell ref="B24:H24"/>
    <mergeCell ref="B54:H54"/>
    <mergeCell ref="B33:H33"/>
    <mergeCell ref="A39:H39"/>
    <mergeCell ref="B40:H40"/>
    <mergeCell ref="A46:H46"/>
    <mergeCell ref="B47:H47"/>
    <mergeCell ref="A53:H53"/>
  </mergeCells>
  <conditionalFormatting sqref="A24:B24 A33 A40:B40 A47:B47 A54:B54 A34:H38 A41:H45 A48:H52 A55:H199 A31:H31 A5:H5 A4:B4 A6 C6:H6 A9:H14 B7:H8 A25:A30 C25:H30 B15:H22">
    <cfRule type="expression" dxfId="14" priority="7">
      <formula>IF($H4="X", TRUE, FALSE)</formula>
    </cfRule>
  </conditionalFormatting>
  <conditionalFormatting sqref="B26 B28 B30">
    <cfRule type="expression" dxfId="13" priority="3">
      <formula>IF($H26="X", TRUE, FALSE)</formula>
    </cfRule>
  </conditionalFormatting>
  <conditionalFormatting sqref="B6">
    <cfRule type="expression" dxfId="12" priority="28">
      <formula>IF(#REF!="X", TRUE, FALSE)</formula>
    </cfRule>
  </conditionalFormatting>
  <conditionalFormatting sqref="A7">
    <cfRule type="expression" dxfId="11" priority="30">
      <formula>IF($H8="X", TRUE, FALSE)</formula>
    </cfRule>
  </conditionalFormatting>
  <conditionalFormatting sqref="B25 B27 B29">
    <cfRule type="expression" dxfId="10" priority="4">
      <formula>IF($H25="X", TRUE, FALSE)</formula>
    </cfRule>
  </conditionalFormatting>
  <conditionalFormatting sqref="A15">
    <cfRule type="expression" dxfId="9" priority="32">
      <formula>IF($H17="X", TRUE, FALSE)</formula>
    </cfRule>
  </conditionalFormatting>
  <conditionalFormatting sqref="A16:A18">
    <cfRule type="expression" dxfId="8" priority="34">
      <formula>IF($H19="X", TRUE, FALSE)</formula>
    </cfRule>
  </conditionalFormatting>
  <conditionalFormatting sqref="A19">
    <cfRule type="expression" dxfId="7" priority="2">
      <formula>IF($H22="X", TRUE, FALSE)</formula>
    </cfRule>
  </conditionalFormatting>
  <conditionalFormatting sqref="A20:A22">
    <cfRule type="expression" dxfId="6" priority="1">
      <formula>IF($H23="X", TRUE, FALSE)</formula>
    </cfRule>
  </conditionalFormatting>
  <pageMargins left="0.25" right="0.25" top="1" bottom="0.75" header="0.3" footer="0.3"/>
  <pageSetup orientation="landscape" r:id="rId1"/>
  <headerFooter>
    <oddHeader>&amp;C&amp;"-,Bold"&amp;18eLearning Project Plan
&amp;"-,Bold Italic"Manual Material Handling</oddHeader>
  </headerFooter>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Links!$G$2:$G$3</xm:f>
          </x14:formula1>
          <xm:sqref>H25:H31 H34:H38 H41:H45 H48:H52 H55:H59 H5:H22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outlinePr summaryBelow="0"/>
  </sheetPr>
  <dimension ref="A1:G23"/>
  <sheetViews>
    <sheetView showGridLines="0" view="pageLayout" zoomScaleNormal="100" workbookViewId="0">
      <selection activeCell="G4" sqref="G4"/>
    </sheetView>
  </sheetViews>
  <sheetFormatPr defaultRowHeight="15" x14ac:dyDescent="0.25"/>
  <cols>
    <col min="1" max="1" width="3.85546875" style="1" bestFit="1" customWidth="1"/>
    <col min="2" max="2" width="25.28515625" style="2" customWidth="1"/>
    <col min="3" max="3" width="15" style="2" customWidth="1"/>
    <col min="4" max="4" width="34.7109375" style="2" customWidth="1"/>
    <col min="5" max="5" width="16" customWidth="1"/>
    <col min="6" max="6" width="33" style="2" customWidth="1"/>
    <col min="7" max="7" width="4.85546875" style="3" customWidth="1"/>
  </cols>
  <sheetData>
    <row r="1" spans="1:7" ht="4.5" customHeight="1" x14ac:dyDescent="0.25">
      <c r="A1" s="140"/>
      <c r="B1" s="141"/>
      <c r="C1" s="141"/>
      <c r="D1" s="141"/>
      <c r="E1" s="141"/>
      <c r="F1" s="141"/>
      <c r="G1" s="142"/>
    </row>
    <row r="2" spans="1:7" s="14" customFormat="1" ht="60.75" customHeight="1" x14ac:dyDescent="0.25">
      <c r="A2" s="55" t="s">
        <v>0</v>
      </c>
      <c r="B2" s="18" t="s">
        <v>53</v>
      </c>
      <c r="C2" s="18" t="s">
        <v>56</v>
      </c>
      <c r="D2" s="18" t="s">
        <v>55</v>
      </c>
      <c r="E2" s="27" t="s">
        <v>54</v>
      </c>
      <c r="F2" s="18" t="s">
        <v>57</v>
      </c>
      <c r="G2" s="28" t="s">
        <v>51</v>
      </c>
    </row>
    <row r="3" spans="1:7" ht="4.5" customHeight="1" x14ac:dyDescent="0.25">
      <c r="A3" s="143"/>
      <c r="B3" s="144"/>
      <c r="C3" s="144"/>
      <c r="D3" s="144"/>
      <c r="E3" s="144"/>
      <c r="F3" s="144"/>
      <c r="G3" s="145"/>
    </row>
    <row r="4" spans="1:7" ht="16.5" x14ac:dyDescent="0.25">
      <c r="A4" s="51">
        <v>1</v>
      </c>
      <c r="B4" s="31"/>
      <c r="C4" s="31"/>
      <c r="D4" s="31"/>
      <c r="E4" s="4"/>
      <c r="F4" s="5"/>
      <c r="G4" s="6"/>
    </row>
    <row r="5" spans="1:7" ht="16.5" x14ac:dyDescent="0.25">
      <c r="A5" s="51">
        <v>2</v>
      </c>
      <c r="B5" s="31"/>
      <c r="C5" s="31"/>
      <c r="D5" s="31"/>
      <c r="E5" s="4"/>
      <c r="F5" s="5"/>
      <c r="G5" s="6"/>
    </row>
    <row r="6" spans="1:7" ht="16.5" x14ac:dyDescent="0.25">
      <c r="A6" s="51">
        <v>3</v>
      </c>
      <c r="B6" s="32"/>
      <c r="C6" s="31"/>
      <c r="D6" s="31"/>
      <c r="E6" s="4"/>
      <c r="F6" s="5"/>
      <c r="G6" s="6"/>
    </row>
    <row r="7" spans="1:7" ht="16.5" x14ac:dyDescent="0.25">
      <c r="A7" s="51">
        <v>4</v>
      </c>
      <c r="B7" s="31"/>
      <c r="C7" s="31"/>
      <c r="D7" s="31"/>
      <c r="E7" s="4"/>
      <c r="F7" s="5"/>
      <c r="G7" s="6"/>
    </row>
    <row r="8" spans="1:7" ht="16.5" x14ac:dyDescent="0.25">
      <c r="A8" s="51">
        <v>5</v>
      </c>
      <c r="B8" s="32"/>
      <c r="C8" s="32"/>
      <c r="D8" s="31"/>
      <c r="E8" s="4"/>
      <c r="F8" s="5"/>
      <c r="G8" s="6"/>
    </row>
    <row r="9" spans="1:7" ht="16.5" x14ac:dyDescent="0.25">
      <c r="A9" s="51">
        <v>6</v>
      </c>
      <c r="B9" s="31"/>
      <c r="C9" s="31"/>
      <c r="D9" s="32"/>
      <c r="E9" s="4"/>
      <c r="F9" s="5"/>
      <c r="G9" s="6"/>
    </row>
    <row r="10" spans="1:7" ht="16.5" x14ac:dyDescent="0.25">
      <c r="A10" s="51">
        <v>7</v>
      </c>
      <c r="B10" s="31"/>
      <c r="C10" s="32"/>
      <c r="D10" s="31"/>
      <c r="E10" s="4"/>
      <c r="F10" s="5"/>
      <c r="G10" s="6"/>
    </row>
    <row r="11" spans="1:7" ht="16.5" x14ac:dyDescent="0.25">
      <c r="A11" s="51">
        <v>8</v>
      </c>
      <c r="B11" s="31"/>
      <c r="C11" s="31"/>
      <c r="D11" s="32"/>
      <c r="E11" s="4"/>
      <c r="F11" s="5"/>
      <c r="G11" s="6"/>
    </row>
    <row r="12" spans="1:7" ht="16.5" x14ac:dyDescent="0.25">
      <c r="A12" s="51">
        <v>9</v>
      </c>
      <c r="B12" s="32"/>
      <c r="C12" s="31"/>
      <c r="D12" s="31"/>
      <c r="E12" s="4"/>
      <c r="F12" s="5"/>
      <c r="G12" s="6"/>
    </row>
    <row r="13" spans="1:7" ht="16.5" x14ac:dyDescent="0.25">
      <c r="A13" s="51">
        <v>10</v>
      </c>
      <c r="B13" s="31"/>
      <c r="C13" s="31"/>
      <c r="D13" s="31"/>
      <c r="E13" s="4"/>
      <c r="F13" s="5"/>
      <c r="G13" s="6"/>
    </row>
    <row r="14" spans="1:7" ht="16.5" x14ac:dyDescent="0.25">
      <c r="A14" s="51">
        <v>11</v>
      </c>
      <c r="B14" s="31"/>
      <c r="C14" s="32"/>
      <c r="D14" s="31"/>
      <c r="E14" s="4"/>
      <c r="F14" s="5"/>
      <c r="G14" s="6"/>
    </row>
    <row r="15" spans="1:7" ht="16.5" x14ac:dyDescent="0.25">
      <c r="A15" s="51">
        <v>12</v>
      </c>
      <c r="B15" s="31"/>
      <c r="C15" s="31"/>
      <c r="D15" s="32"/>
      <c r="E15" s="4"/>
      <c r="F15" s="5"/>
      <c r="G15" s="6"/>
    </row>
    <row r="16" spans="1:7" ht="16.5" x14ac:dyDescent="0.25">
      <c r="A16" s="51">
        <v>13</v>
      </c>
      <c r="B16" s="31"/>
      <c r="C16" s="31"/>
      <c r="D16" s="31"/>
      <c r="E16" s="4"/>
      <c r="F16" s="5"/>
      <c r="G16" s="6"/>
    </row>
    <row r="17" spans="1:7" ht="16.5" x14ac:dyDescent="0.25">
      <c r="A17" s="51">
        <v>14</v>
      </c>
      <c r="B17" s="5"/>
      <c r="C17" s="31"/>
      <c r="D17" s="31"/>
      <c r="E17" s="4"/>
      <c r="F17" s="5"/>
      <c r="G17" s="6"/>
    </row>
    <row r="18" spans="1:7" ht="16.5" x14ac:dyDescent="0.25">
      <c r="A18" s="51">
        <v>15</v>
      </c>
      <c r="B18" s="5"/>
      <c r="C18" s="31"/>
      <c r="D18" s="31"/>
      <c r="E18" s="4"/>
      <c r="F18" s="5"/>
      <c r="G18" s="6"/>
    </row>
    <row r="19" spans="1:7" ht="16.5" x14ac:dyDescent="0.25">
      <c r="A19" s="51">
        <v>16</v>
      </c>
      <c r="B19" s="5"/>
      <c r="C19" s="5"/>
      <c r="D19" s="31"/>
      <c r="E19" s="4"/>
      <c r="F19" s="5"/>
      <c r="G19" s="6"/>
    </row>
    <row r="20" spans="1:7" collapsed="1" x14ac:dyDescent="0.25">
      <c r="A20" s="8"/>
      <c r="B20" s="9"/>
      <c r="C20" s="9"/>
      <c r="D20" s="9"/>
      <c r="E20" s="11"/>
      <c r="F20"/>
      <c r="G20"/>
    </row>
    <row r="21" spans="1:7" x14ac:dyDescent="0.25">
      <c r="A21" s="8"/>
      <c r="C21" s="9"/>
      <c r="D21" s="9"/>
      <c r="E21" s="10"/>
      <c r="F21" s="9"/>
      <c r="G21" s="11"/>
    </row>
    <row r="22" spans="1:7" x14ac:dyDescent="0.25">
      <c r="A22" s="8"/>
      <c r="C22" s="9"/>
      <c r="D22" s="9"/>
      <c r="E22" s="10"/>
      <c r="F22" s="9"/>
      <c r="G22" s="11"/>
    </row>
    <row r="23" spans="1:7" x14ac:dyDescent="0.25">
      <c r="A23" s="8"/>
      <c r="D23" s="9"/>
      <c r="E23" s="10"/>
      <c r="F23" s="9"/>
      <c r="G23" s="11"/>
    </row>
  </sheetData>
  <customSheetViews>
    <customSheetView guid="{79CFC90F-9797-4F95-B835-584B9BD0A801}" showPageBreaks="1" showGridLines="0" view="pageLayout">
      <selection activeCell="B4" sqref="B4"/>
    </customSheetView>
  </customSheetViews>
  <mergeCells count="2">
    <mergeCell ref="A1:G1"/>
    <mergeCell ref="A3:G3"/>
  </mergeCells>
  <conditionalFormatting sqref="A4:G5 D6:G19 D21:G159 A6:A19 A21:A159">
    <cfRule type="expression" dxfId="5" priority="1">
      <formula>IF($G4="X", TRUE, FALSE)</formula>
    </cfRule>
  </conditionalFormatting>
  <conditionalFormatting sqref="C6:C18 C20:C158">
    <cfRule type="expression" dxfId="4" priority="10">
      <formula>IF($G7="X", TRUE, FALSE)</formula>
    </cfRule>
  </conditionalFormatting>
  <conditionalFormatting sqref="B6:B16 B18:B156">
    <cfRule type="expression" dxfId="3" priority="12">
      <formula>IF($G9="X", TRUE, FALSE)</formula>
    </cfRule>
  </conditionalFormatting>
  <conditionalFormatting sqref="A20 D20:E20">
    <cfRule type="expression" dxfId="2" priority="14">
      <formula>IF($E20="X", TRUE, FALSE)</formula>
    </cfRule>
  </conditionalFormatting>
  <conditionalFormatting sqref="C19">
    <cfRule type="expression" dxfId="1" priority="18">
      <formula>IF($E20="X", TRUE, FALSE)</formula>
    </cfRule>
  </conditionalFormatting>
  <conditionalFormatting sqref="B17">
    <cfRule type="expression" dxfId="0" priority="20">
      <formula>IF($E20="X", TRUE, FALSE)</formula>
    </cfRule>
  </conditionalFormatting>
  <pageMargins left="0.25" right="0.25" top="1" bottom="0.75" header="0.3" footer="0.3"/>
  <pageSetup orientation="landscape" r:id="rId1"/>
  <headerFooter>
    <oddHeader>&amp;C&amp;"-,Bold"&amp;18Edits and Updates
&amp;"-,Bold Italic"ProjectName</oddHeader>
    <oddFooter>&amp;C&amp;G</oddFooter>
  </headerFooter>
  <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Links!$G$2:$G$3</xm:f>
          </x14:formula1>
          <xm:sqref>G4:G19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
  <sheetViews>
    <sheetView workbookViewId="0"/>
  </sheetViews>
  <sheetFormatPr defaultRowHeight="15" x14ac:dyDescent="0.25"/>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G4"/>
  <sheetViews>
    <sheetView workbookViewId="0">
      <selection activeCell="G4" sqref="G4"/>
    </sheetView>
  </sheetViews>
  <sheetFormatPr defaultRowHeight="15" x14ac:dyDescent="0.25"/>
  <cols>
    <col min="1" max="1" width="16.28515625" bestFit="1" customWidth="1"/>
    <col min="3" max="3" width="26.85546875" bestFit="1" customWidth="1"/>
    <col min="5" max="5" width="14.85546875" bestFit="1" customWidth="1"/>
    <col min="7" max="7" width="12.42578125" bestFit="1" customWidth="1"/>
  </cols>
  <sheetData>
    <row r="1" spans="1:7" x14ac:dyDescent="0.25">
      <c r="A1" s="26" t="s">
        <v>22</v>
      </c>
      <c r="C1" s="26" t="s">
        <v>38</v>
      </c>
      <c r="E1" s="26" t="s">
        <v>48</v>
      </c>
      <c r="G1" s="26" t="s">
        <v>49</v>
      </c>
    </row>
    <row r="2" spans="1:7" x14ac:dyDescent="0.25">
      <c r="A2" t="s">
        <v>19</v>
      </c>
      <c r="C2" t="s">
        <v>39</v>
      </c>
      <c r="E2" t="s">
        <v>7</v>
      </c>
      <c r="G2" t="s">
        <v>50</v>
      </c>
    </row>
    <row r="3" spans="1:7" x14ac:dyDescent="0.25">
      <c r="A3" t="s">
        <v>20</v>
      </c>
      <c r="C3" t="s">
        <v>40</v>
      </c>
      <c r="E3" t="s">
        <v>23</v>
      </c>
    </row>
    <row r="4" spans="1:7" x14ac:dyDescent="0.25">
      <c r="A4" t="s">
        <v>21</v>
      </c>
      <c r="C4" t="s">
        <v>41</v>
      </c>
    </row>
  </sheetData>
  <customSheetViews>
    <customSheetView guid="{79CFC90F-9797-4F95-B835-584B9BD0A801}" state="hidden">
      <selection activeCell="G4" sqref="G4"/>
    </customSheetView>
  </customSheetView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Below="0"/>
  </sheetPr>
  <dimension ref="A1:H123"/>
  <sheetViews>
    <sheetView showGridLines="0" view="pageLayout" zoomScaleNormal="100" workbookViewId="0">
      <selection activeCell="B121" sqref="B121"/>
    </sheetView>
  </sheetViews>
  <sheetFormatPr defaultRowHeight="15" outlineLevelRow="2" x14ac:dyDescent="0.25"/>
  <cols>
    <col min="1" max="1" width="4.5703125" style="1" bestFit="1" customWidth="1"/>
    <col min="2" max="2" width="46.5703125" style="2" customWidth="1"/>
    <col min="3" max="3" width="16" style="80" customWidth="1"/>
    <col min="4" max="4" width="10.28515625" customWidth="1"/>
    <col min="5" max="5" width="10.28515625" style="100" customWidth="1"/>
    <col min="6" max="6" width="11.42578125" customWidth="1"/>
    <col min="7" max="7" width="26" style="2" customWidth="1"/>
    <col min="8" max="8" width="4.85546875" style="3" customWidth="1"/>
  </cols>
  <sheetData>
    <row r="1" spans="1:8" ht="4.5" customHeight="1" x14ac:dyDescent="0.25">
      <c r="A1" s="140"/>
      <c r="B1" s="141"/>
      <c r="C1" s="141"/>
      <c r="D1" s="141"/>
      <c r="E1" s="141"/>
      <c r="F1" s="141"/>
      <c r="G1" s="141"/>
      <c r="H1" s="142"/>
    </row>
    <row r="2" spans="1:8" ht="60.75" customHeight="1" x14ac:dyDescent="0.25">
      <c r="A2" s="53" t="s">
        <v>0</v>
      </c>
      <c r="B2" s="16" t="s">
        <v>1</v>
      </c>
      <c r="C2" s="78" t="s">
        <v>2</v>
      </c>
      <c r="D2" s="18" t="s">
        <v>3</v>
      </c>
      <c r="E2" s="99" t="s">
        <v>4</v>
      </c>
      <c r="F2" s="18" t="s">
        <v>5</v>
      </c>
      <c r="G2" s="16" t="s">
        <v>6</v>
      </c>
      <c r="H2" s="28" t="s">
        <v>51</v>
      </c>
    </row>
    <row r="3" spans="1:8" ht="11.25" customHeight="1" x14ac:dyDescent="0.25">
      <c r="A3" s="143"/>
      <c r="B3" s="144"/>
      <c r="C3" s="144"/>
      <c r="D3" s="144"/>
      <c r="E3" s="144"/>
      <c r="F3" s="144"/>
      <c r="G3" s="144"/>
      <c r="H3" s="145"/>
    </row>
    <row r="4" spans="1:8" x14ac:dyDescent="0.25">
      <c r="A4" s="13">
        <v>1</v>
      </c>
      <c r="B4" s="146" t="s">
        <v>158</v>
      </c>
      <c r="C4" s="147"/>
      <c r="D4" s="147"/>
      <c r="E4" s="147"/>
      <c r="F4" s="147"/>
      <c r="G4" s="147"/>
      <c r="H4" s="148"/>
    </row>
    <row r="5" spans="1:8" ht="16.5" outlineLevel="2" x14ac:dyDescent="0.3">
      <c r="A5" s="7">
        <v>1.1000000000000001</v>
      </c>
      <c r="B5" s="101" t="s">
        <v>106</v>
      </c>
      <c r="C5" s="5"/>
      <c r="D5" s="74"/>
      <c r="E5" s="74"/>
      <c r="F5" s="4"/>
      <c r="G5" s="5"/>
      <c r="H5" s="6" t="s">
        <v>50</v>
      </c>
    </row>
    <row r="6" spans="1:8" ht="16.5" outlineLevel="2" x14ac:dyDescent="0.25">
      <c r="A6" s="7">
        <v>1.2</v>
      </c>
      <c r="B6" s="31" t="s">
        <v>136</v>
      </c>
      <c r="C6" s="5"/>
      <c r="D6" s="74"/>
      <c r="E6" s="74"/>
      <c r="F6" s="4"/>
      <c r="G6" s="5"/>
      <c r="H6" s="6" t="s">
        <v>50</v>
      </c>
    </row>
    <row r="7" spans="1:8" ht="16.5" outlineLevel="2" x14ac:dyDescent="0.25">
      <c r="A7" s="7">
        <v>1.3</v>
      </c>
      <c r="B7" s="31" t="s">
        <v>130</v>
      </c>
      <c r="C7" s="5"/>
      <c r="D7" s="74"/>
      <c r="E7" s="74"/>
      <c r="F7" s="4"/>
      <c r="G7" s="5"/>
      <c r="H7" s="6" t="s">
        <v>50</v>
      </c>
    </row>
    <row r="8" spans="1:8" ht="16.5" outlineLevel="2" x14ac:dyDescent="0.25">
      <c r="A8" s="7">
        <v>1.4</v>
      </c>
      <c r="B8" s="31" t="s">
        <v>129</v>
      </c>
      <c r="C8" s="5"/>
      <c r="D8" s="74"/>
      <c r="E8" s="74"/>
      <c r="F8" s="4"/>
      <c r="G8" s="5"/>
      <c r="H8" s="6" t="s">
        <v>50</v>
      </c>
    </row>
    <row r="9" spans="1:8" ht="33" outlineLevel="2" x14ac:dyDescent="0.25">
      <c r="A9" s="7">
        <v>1.5</v>
      </c>
      <c r="B9" s="31" t="s">
        <v>108</v>
      </c>
      <c r="C9" s="5"/>
      <c r="D9" s="74"/>
      <c r="E9" s="74"/>
      <c r="F9" s="74"/>
      <c r="G9" s="5"/>
      <c r="H9" s="6" t="s">
        <v>50</v>
      </c>
    </row>
    <row r="10" spans="1:8" ht="33" outlineLevel="2" x14ac:dyDescent="0.25">
      <c r="A10" s="7">
        <v>1.6</v>
      </c>
      <c r="B10" s="31" t="s">
        <v>103</v>
      </c>
      <c r="C10" s="5"/>
      <c r="D10" s="74"/>
      <c r="E10" s="74"/>
      <c r="F10" s="74"/>
      <c r="G10" s="5"/>
      <c r="H10" s="6"/>
    </row>
    <row r="11" spans="1:8" ht="16.5" outlineLevel="2" x14ac:dyDescent="0.25">
      <c r="A11" s="7" t="s">
        <v>143</v>
      </c>
      <c r="B11" s="31" t="s">
        <v>144</v>
      </c>
      <c r="C11" s="5"/>
      <c r="D11" s="74"/>
      <c r="E11" s="74"/>
      <c r="F11" s="74"/>
      <c r="G11" s="5"/>
      <c r="H11" s="6"/>
    </row>
    <row r="12" spans="1:8" ht="16.5" outlineLevel="2" x14ac:dyDescent="0.25">
      <c r="A12" s="7" t="s">
        <v>145</v>
      </c>
      <c r="B12" s="31" t="s">
        <v>148</v>
      </c>
      <c r="C12" s="5"/>
      <c r="D12" s="74"/>
      <c r="E12" s="74"/>
      <c r="F12" s="74"/>
      <c r="G12" s="5"/>
      <c r="H12" s="6"/>
    </row>
    <row r="13" spans="1:8" ht="16.5" outlineLevel="2" x14ac:dyDescent="0.25">
      <c r="A13" s="7" t="s">
        <v>149</v>
      </c>
      <c r="B13" s="31" t="s">
        <v>150</v>
      </c>
      <c r="C13" s="5"/>
      <c r="D13" s="74"/>
      <c r="E13" s="74"/>
      <c r="F13" s="74"/>
      <c r="G13" s="5"/>
      <c r="H13" s="6"/>
    </row>
    <row r="14" spans="1:8" ht="16.5" outlineLevel="2" x14ac:dyDescent="0.25">
      <c r="A14" s="7" t="s">
        <v>146</v>
      </c>
      <c r="B14" s="31" t="s">
        <v>147</v>
      </c>
      <c r="C14" s="5"/>
      <c r="D14" s="74"/>
      <c r="E14" s="74"/>
      <c r="F14" s="74"/>
      <c r="G14" s="5"/>
      <c r="H14" s="6"/>
    </row>
    <row r="15" spans="1:8" ht="16.5" outlineLevel="2" x14ac:dyDescent="0.25">
      <c r="A15" s="7">
        <v>1.7</v>
      </c>
      <c r="B15" s="31" t="s">
        <v>151</v>
      </c>
      <c r="C15" s="5"/>
      <c r="D15" s="74"/>
      <c r="E15" s="74"/>
      <c r="F15" s="74"/>
      <c r="G15" s="5"/>
      <c r="H15" s="6"/>
    </row>
    <row r="16" spans="1:8" ht="16.5" outlineLevel="2" x14ac:dyDescent="0.25">
      <c r="A16" s="7">
        <v>1.6</v>
      </c>
      <c r="B16" s="31" t="s">
        <v>100</v>
      </c>
      <c r="C16" s="5"/>
      <c r="D16" s="74"/>
      <c r="E16" s="74"/>
      <c r="F16" s="4"/>
      <c r="G16" s="5"/>
      <c r="H16" s="6"/>
    </row>
    <row r="17" spans="1:8" ht="16.5" outlineLevel="2" x14ac:dyDescent="0.25">
      <c r="A17" s="7">
        <v>1.7</v>
      </c>
      <c r="B17" s="31" t="s">
        <v>132</v>
      </c>
      <c r="C17" s="5"/>
      <c r="D17" s="4"/>
      <c r="E17" s="74"/>
      <c r="F17" s="4"/>
      <c r="G17" s="5"/>
      <c r="H17" s="6"/>
    </row>
    <row r="18" spans="1:8" ht="16.5" outlineLevel="2" x14ac:dyDescent="0.25">
      <c r="A18" s="7">
        <v>1.8</v>
      </c>
      <c r="B18" s="32" t="s">
        <v>133</v>
      </c>
      <c r="C18" s="5"/>
      <c r="D18" s="4"/>
      <c r="E18" s="74"/>
      <c r="F18" s="4"/>
      <c r="G18" s="5"/>
      <c r="H18" s="6"/>
    </row>
    <row r="19" spans="1:8" ht="16.5" outlineLevel="2" x14ac:dyDescent="0.25">
      <c r="A19" s="7">
        <v>1.9</v>
      </c>
      <c r="B19" s="31" t="s">
        <v>45</v>
      </c>
      <c r="C19" s="5"/>
      <c r="D19" s="4"/>
      <c r="E19" s="74"/>
      <c r="F19" s="4"/>
      <c r="G19" s="5"/>
      <c r="H19" s="6"/>
    </row>
    <row r="20" spans="1:8" ht="16.5" outlineLevel="2" x14ac:dyDescent="0.25">
      <c r="A20" s="12">
        <v>1.1000000000000001</v>
      </c>
      <c r="B20" s="32" t="s">
        <v>95</v>
      </c>
      <c r="C20" s="5"/>
      <c r="D20" s="4"/>
      <c r="E20" s="74"/>
      <c r="F20" s="4"/>
      <c r="G20" s="5"/>
      <c r="H20" s="6"/>
    </row>
    <row r="21" spans="1:8" ht="16.5" outlineLevel="2" x14ac:dyDescent="0.3">
      <c r="A21" s="12">
        <v>1.1499999999999999</v>
      </c>
      <c r="B21" s="101" t="s">
        <v>131</v>
      </c>
      <c r="C21" s="5"/>
      <c r="D21" s="4"/>
      <c r="E21" s="74"/>
      <c r="F21" s="4"/>
      <c r="G21" s="5"/>
      <c r="H21" s="6"/>
    </row>
    <row r="22" spans="1:8" ht="16.5" outlineLevel="2" x14ac:dyDescent="0.3">
      <c r="A22" s="12">
        <v>1.1599999999999999</v>
      </c>
      <c r="B22" s="101" t="s">
        <v>134</v>
      </c>
      <c r="C22" s="5"/>
      <c r="D22" s="4"/>
      <c r="E22" s="74"/>
      <c r="F22" s="4"/>
      <c r="G22" s="5"/>
      <c r="H22" s="6"/>
    </row>
    <row r="23" spans="1:8" ht="16.5" outlineLevel="2" x14ac:dyDescent="0.3">
      <c r="A23" s="12">
        <v>1.17</v>
      </c>
      <c r="B23" s="101" t="s">
        <v>135</v>
      </c>
      <c r="C23" s="5"/>
      <c r="D23" s="4"/>
      <c r="E23" s="74"/>
      <c r="F23" s="4"/>
      <c r="G23" s="5"/>
      <c r="H23" s="6"/>
    </row>
    <row r="24" spans="1:8" ht="16.5" outlineLevel="2" x14ac:dyDescent="0.3">
      <c r="A24" s="12">
        <v>1.18</v>
      </c>
      <c r="B24" s="101"/>
      <c r="C24" s="5"/>
      <c r="D24" s="4"/>
      <c r="E24" s="74"/>
      <c r="F24" s="4"/>
      <c r="G24" s="5"/>
      <c r="H24" s="6"/>
    </row>
    <row r="25" spans="1:8" ht="16.5" outlineLevel="2" x14ac:dyDescent="0.3">
      <c r="A25" s="12">
        <v>1.29</v>
      </c>
      <c r="B25" s="101"/>
      <c r="C25" s="5"/>
      <c r="D25" s="4"/>
      <c r="E25" s="74"/>
      <c r="F25" s="4"/>
      <c r="G25" s="5"/>
      <c r="H25" s="6"/>
    </row>
    <row r="26" spans="1:8" outlineLevel="2" x14ac:dyDescent="0.25">
      <c r="A26" s="12">
        <v>1.3</v>
      </c>
      <c r="B26" s="5"/>
      <c r="C26" s="5"/>
      <c r="D26" s="4"/>
      <c r="E26" s="74"/>
      <c r="F26" s="4"/>
      <c r="G26" s="5"/>
      <c r="H26" s="6"/>
    </row>
    <row r="27" spans="1:8" x14ac:dyDescent="0.25">
      <c r="A27" s="149"/>
      <c r="B27" s="149"/>
      <c r="C27" s="149"/>
      <c r="D27" s="149"/>
      <c r="E27" s="149"/>
      <c r="F27" s="149"/>
      <c r="G27" s="149"/>
      <c r="H27" s="149"/>
    </row>
    <row r="28" spans="1:8" x14ac:dyDescent="0.25">
      <c r="A28" s="13">
        <v>2</v>
      </c>
      <c r="B28" s="150" t="s">
        <v>159</v>
      </c>
      <c r="C28" s="151"/>
      <c r="D28" s="151"/>
      <c r="E28" s="151"/>
      <c r="F28" s="151"/>
      <c r="G28" s="151"/>
      <c r="H28" s="152"/>
    </row>
    <row r="29" spans="1:8" ht="16.5" outlineLevel="1" x14ac:dyDescent="0.3">
      <c r="A29" s="7">
        <v>2.1</v>
      </c>
      <c r="B29" s="101" t="s">
        <v>106</v>
      </c>
      <c r="C29" s="5"/>
      <c r="D29" s="4"/>
      <c r="E29" s="74"/>
      <c r="F29" s="4"/>
      <c r="G29" s="5"/>
      <c r="H29" s="6"/>
    </row>
    <row r="30" spans="1:8" ht="16.5" outlineLevel="1" x14ac:dyDescent="0.25">
      <c r="A30" s="7">
        <v>2.2000000000000002</v>
      </c>
      <c r="B30" s="31" t="s">
        <v>136</v>
      </c>
      <c r="C30" s="5"/>
      <c r="D30" s="4"/>
      <c r="E30" s="74"/>
      <c r="F30" s="4"/>
      <c r="G30" s="5"/>
      <c r="H30" s="6"/>
    </row>
    <row r="31" spans="1:8" ht="16.5" outlineLevel="1" x14ac:dyDescent="0.25">
      <c r="A31" s="7">
        <v>2.2999999999999998</v>
      </c>
      <c r="B31" s="31" t="s">
        <v>130</v>
      </c>
      <c r="C31" s="5"/>
      <c r="D31" s="4"/>
      <c r="E31" s="74"/>
      <c r="F31" s="4"/>
      <c r="G31" s="5"/>
      <c r="H31" s="6"/>
    </row>
    <row r="32" spans="1:8" ht="16.5" outlineLevel="1" x14ac:dyDescent="0.25">
      <c r="A32" s="7">
        <v>2.4</v>
      </c>
      <c r="B32" s="31" t="s">
        <v>129</v>
      </c>
      <c r="C32" s="5"/>
      <c r="D32" s="4"/>
      <c r="E32" s="74"/>
      <c r="F32" s="4"/>
      <c r="G32" s="5"/>
      <c r="H32" s="6"/>
    </row>
    <row r="33" spans="1:8" ht="33" outlineLevel="1" x14ac:dyDescent="0.25">
      <c r="A33" s="7">
        <v>2.5</v>
      </c>
      <c r="B33" s="31" t="s">
        <v>108</v>
      </c>
      <c r="C33" s="5"/>
      <c r="D33" s="4"/>
      <c r="E33" s="74"/>
      <c r="F33" s="4"/>
      <c r="G33" s="5"/>
      <c r="H33" s="6"/>
    </row>
    <row r="34" spans="1:8" ht="33" outlineLevel="1" x14ac:dyDescent="0.25">
      <c r="A34" s="7">
        <v>2.6</v>
      </c>
      <c r="B34" s="31" t="s">
        <v>103</v>
      </c>
      <c r="C34" s="5"/>
      <c r="D34" s="4"/>
      <c r="E34" s="74"/>
      <c r="F34" s="4"/>
      <c r="G34" s="5"/>
      <c r="H34" s="6"/>
    </row>
    <row r="35" spans="1:8" ht="16.5" outlineLevel="1" x14ac:dyDescent="0.25">
      <c r="A35" s="7">
        <v>2.7</v>
      </c>
      <c r="B35" s="31" t="s">
        <v>100</v>
      </c>
      <c r="C35" s="5"/>
      <c r="D35" s="4"/>
      <c r="E35" s="74"/>
      <c r="F35" s="4"/>
      <c r="G35" s="5"/>
      <c r="H35" s="6"/>
    </row>
    <row r="36" spans="1:8" ht="16.5" outlineLevel="1" x14ac:dyDescent="0.25">
      <c r="A36" s="7">
        <v>2.8</v>
      </c>
      <c r="B36" s="31" t="s">
        <v>132</v>
      </c>
      <c r="C36" s="5"/>
      <c r="D36" s="4"/>
      <c r="E36" s="74"/>
      <c r="F36" s="4"/>
      <c r="G36" s="5"/>
      <c r="H36" s="6"/>
    </row>
    <row r="37" spans="1:8" ht="16.5" outlineLevel="1" x14ac:dyDescent="0.25">
      <c r="A37" s="7">
        <v>2.9</v>
      </c>
      <c r="B37" s="32" t="s">
        <v>133</v>
      </c>
      <c r="C37" s="5"/>
      <c r="D37" s="4"/>
      <c r="E37" s="74"/>
      <c r="F37" s="4"/>
      <c r="G37" s="5"/>
      <c r="H37" s="6"/>
    </row>
    <row r="38" spans="1:8" ht="16.5" outlineLevel="1" x14ac:dyDescent="0.25">
      <c r="A38" s="12">
        <v>2.1</v>
      </c>
      <c r="B38" s="31" t="s">
        <v>45</v>
      </c>
      <c r="C38" s="5"/>
      <c r="D38" s="4"/>
      <c r="E38" s="74"/>
      <c r="F38" s="4"/>
      <c r="G38" s="5"/>
      <c r="H38" s="6"/>
    </row>
    <row r="39" spans="1:8" ht="16.5" outlineLevel="1" x14ac:dyDescent="0.25">
      <c r="A39" s="12">
        <v>2.11</v>
      </c>
      <c r="B39" s="32" t="s">
        <v>95</v>
      </c>
      <c r="C39" s="5"/>
      <c r="D39" s="4"/>
      <c r="E39" s="74"/>
      <c r="F39" s="4"/>
      <c r="G39" s="5"/>
      <c r="H39" s="6"/>
    </row>
    <row r="40" spans="1:8" outlineLevel="1" x14ac:dyDescent="0.25">
      <c r="A40" s="12">
        <v>2.12</v>
      </c>
      <c r="B40" s="5"/>
      <c r="C40" s="5"/>
      <c r="D40" s="4"/>
      <c r="E40" s="74"/>
      <c r="F40" s="4"/>
      <c r="G40" s="5"/>
      <c r="H40" s="6"/>
    </row>
    <row r="41" spans="1:8" ht="15" customHeight="1" x14ac:dyDescent="0.25">
      <c r="A41" s="136"/>
      <c r="B41" s="136"/>
      <c r="C41" s="136"/>
      <c r="D41" s="136"/>
      <c r="E41" s="136"/>
      <c r="F41" s="136"/>
      <c r="G41" s="136"/>
      <c r="H41" s="136"/>
    </row>
    <row r="42" spans="1:8" x14ac:dyDescent="0.25">
      <c r="A42" s="13">
        <v>3</v>
      </c>
      <c r="B42" s="137" t="s">
        <v>160</v>
      </c>
      <c r="C42" s="138"/>
      <c r="D42" s="138"/>
      <c r="E42" s="138"/>
      <c r="F42" s="138"/>
      <c r="G42" s="138"/>
      <c r="H42" s="139"/>
    </row>
    <row r="43" spans="1:8" ht="16.5" outlineLevel="1" x14ac:dyDescent="0.3">
      <c r="A43" s="7">
        <v>3.1</v>
      </c>
      <c r="B43" s="101" t="s">
        <v>106</v>
      </c>
      <c r="C43" s="5"/>
      <c r="D43" s="74"/>
      <c r="E43" s="74"/>
      <c r="F43" s="4"/>
      <c r="G43" s="5"/>
      <c r="H43" s="6"/>
    </row>
    <row r="44" spans="1:8" ht="16.5" outlineLevel="1" x14ac:dyDescent="0.25">
      <c r="A44" s="7">
        <v>3.2</v>
      </c>
      <c r="B44" s="31" t="s">
        <v>136</v>
      </c>
      <c r="C44" s="5"/>
      <c r="D44" s="74"/>
      <c r="E44" s="74"/>
      <c r="F44" s="4"/>
      <c r="G44" s="5"/>
      <c r="H44" s="6"/>
    </row>
    <row r="45" spans="1:8" ht="16.5" outlineLevel="1" x14ac:dyDescent="0.25">
      <c r="A45" s="7">
        <v>3.3</v>
      </c>
      <c r="B45" s="31" t="s">
        <v>139</v>
      </c>
      <c r="C45" s="5"/>
      <c r="D45" s="74"/>
      <c r="E45" s="74"/>
      <c r="F45" s="4"/>
      <c r="G45" s="5"/>
      <c r="H45" s="6"/>
    </row>
    <row r="46" spans="1:8" ht="16.5" outlineLevel="1" x14ac:dyDescent="0.25">
      <c r="A46" s="7">
        <v>3.4</v>
      </c>
      <c r="B46" s="31" t="s">
        <v>130</v>
      </c>
      <c r="C46" s="5"/>
      <c r="D46" s="74"/>
      <c r="E46" s="74"/>
      <c r="F46" s="4"/>
      <c r="G46" s="5"/>
      <c r="H46" s="6"/>
    </row>
    <row r="47" spans="1:8" ht="33" outlineLevel="1" x14ac:dyDescent="0.25">
      <c r="A47" s="7">
        <v>3.5</v>
      </c>
      <c r="B47" s="31" t="s">
        <v>108</v>
      </c>
      <c r="C47" s="5"/>
      <c r="D47" s="74"/>
      <c r="E47" s="74"/>
      <c r="F47" s="4"/>
      <c r="G47" s="5"/>
      <c r="H47" s="6"/>
    </row>
    <row r="48" spans="1:8" ht="33" outlineLevel="1" x14ac:dyDescent="0.25">
      <c r="A48" s="7">
        <v>3.6</v>
      </c>
      <c r="B48" s="31" t="s">
        <v>103</v>
      </c>
      <c r="C48" s="5"/>
      <c r="D48" s="74"/>
      <c r="E48" s="74"/>
      <c r="F48" s="4"/>
      <c r="G48" s="5"/>
      <c r="H48" s="6"/>
    </row>
    <row r="49" spans="1:8" ht="16.5" outlineLevel="1" x14ac:dyDescent="0.25">
      <c r="A49" s="7">
        <v>3.7</v>
      </c>
      <c r="B49" s="31" t="s">
        <v>100</v>
      </c>
      <c r="C49" s="5"/>
      <c r="D49" s="74"/>
      <c r="E49" s="74"/>
      <c r="F49" s="4"/>
      <c r="G49" s="5"/>
      <c r="H49" s="6"/>
    </row>
    <row r="50" spans="1:8" ht="16.5" outlineLevel="1" x14ac:dyDescent="0.25">
      <c r="A50" s="7">
        <v>3.8</v>
      </c>
      <c r="B50" s="31" t="s">
        <v>132</v>
      </c>
      <c r="C50" s="5"/>
      <c r="D50" s="74"/>
      <c r="E50" s="74"/>
      <c r="F50" s="4"/>
      <c r="G50" s="5"/>
      <c r="H50" s="6"/>
    </row>
    <row r="51" spans="1:8" ht="16.5" outlineLevel="1" x14ac:dyDescent="0.25">
      <c r="A51" s="7">
        <v>3.9</v>
      </c>
      <c r="B51" s="32" t="s">
        <v>133</v>
      </c>
      <c r="C51" s="5"/>
      <c r="D51" s="74"/>
      <c r="E51" s="74"/>
      <c r="F51" s="4"/>
      <c r="G51" s="5"/>
      <c r="H51" s="6"/>
    </row>
    <row r="52" spans="1:8" ht="16.5" outlineLevel="1" x14ac:dyDescent="0.25">
      <c r="A52" s="12">
        <v>3.1</v>
      </c>
      <c r="B52" s="31" t="s">
        <v>45</v>
      </c>
      <c r="C52" s="5"/>
      <c r="D52" s="4"/>
      <c r="E52" s="74"/>
      <c r="F52" s="4"/>
      <c r="G52" s="5"/>
      <c r="H52" s="6"/>
    </row>
    <row r="53" spans="1:8" ht="16.5" outlineLevel="1" x14ac:dyDescent="0.25">
      <c r="A53" s="12">
        <v>3.11</v>
      </c>
      <c r="B53" s="32" t="s">
        <v>95</v>
      </c>
      <c r="C53" s="5"/>
      <c r="D53" s="74"/>
      <c r="E53" s="74"/>
      <c r="F53" s="4"/>
      <c r="G53" s="5"/>
      <c r="H53" s="6"/>
    </row>
    <row r="54" spans="1:8" ht="16.5" outlineLevel="1" x14ac:dyDescent="0.3">
      <c r="A54" s="12">
        <v>3.12</v>
      </c>
      <c r="B54" s="101" t="s">
        <v>131</v>
      </c>
      <c r="C54" s="5"/>
      <c r="D54" s="4"/>
      <c r="E54" s="74"/>
      <c r="F54" s="4"/>
      <c r="G54" s="5"/>
      <c r="H54" s="6"/>
    </row>
    <row r="55" spans="1:8" ht="13.5" customHeight="1" outlineLevel="1" collapsed="1" x14ac:dyDescent="0.25">
      <c r="A55" s="12">
        <v>3.13</v>
      </c>
      <c r="B55" s="5"/>
      <c r="C55" s="5"/>
      <c r="D55" s="4"/>
      <c r="E55" s="74"/>
      <c r="F55" s="4"/>
      <c r="G55" s="5"/>
      <c r="H55" s="6"/>
    </row>
    <row r="56" spans="1:8" outlineLevel="1" x14ac:dyDescent="0.25">
      <c r="A56" s="12">
        <v>3.14</v>
      </c>
      <c r="B56" s="5"/>
      <c r="C56" s="5"/>
      <c r="D56" s="4"/>
      <c r="E56" s="74"/>
      <c r="F56" s="4"/>
      <c r="G56" s="5"/>
      <c r="H56" s="6"/>
    </row>
    <row r="57" spans="1:8" x14ac:dyDescent="0.25">
      <c r="A57" s="136"/>
      <c r="B57" s="136"/>
      <c r="C57" s="136"/>
      <c r="D57" s="136"/>
      <c r="E57" s="136"/>
      <c r="F57" s="136"/>
      <c r="G57" s="136"/>
      <c r="H57" s="136"/>
    </row>
    <row r="58" spans="1:8" ht="20.25" customHeight="1" x14ac:dyDescent="0.25">
      <c r="A58" s="13">
        <v>4</v>
      </c>
      <c r="B58" s="137" t="s">
        <v>161</v>
      </c>
      <c r="C58" s="138"/>
      <c r="D58" s="138"/>
      <c r="E58" s="138"/>
      <c r="F58" s="138"/>
      <c r="G58" s="138"/>
      <c r="H58" s="139"/>
    </row>
    <row r="59" spans="1:8" ht="20.25" customHeight="1" outlineLevel="1" x14ac:dyDescent="0.3">
      <c r="A59" s="7">
        <v>4.0999999999999996</v>
      </c>
      <c r="B59" s="101" t="s">
        <v>106</v>
      </c>
      <c r="C59" s="5"/>
      <c r="D59" s="74"/>
      <c r="E59" s="74"/>
      <c r="F59" s="4"/>
      <c r="G59" s="5"/>
      <c r="H59" s="6"/>
    </row>
    <row r="60" spans="1:8" ht="20.25" customHeight="1" outlineLevel="1" x14ac:dyDescent="0.25">
      <c r="A60" s="7">
        <v>4.2</v>
      </c>
      <c r="B60" s="31" t="s">
        <v>136</v>
      </c>
      <c r="C60" s="5"/>
      <c r="D60" s="74"/>
      <c r="E60" s="74"/>
      <c r="F60" s="4"/>
      <c r="G60" s="5"/>
      <c r="H60" s="6"/>
    </row>
    <row r="61" spans="1:8" ht="20.25" customHeight="1" outlineLevel="1" x14ac:dyDescent="0.25">
      <c r="A61" s="7">
        <v>4.3</v>
      </c>
      <c r="B61" s="31" t="s">
        <v>139</v>
      </c>
      <c r="C61" s="5"/>
      <c r="D61" s="74"/>
      <c r="E61" s="74"/>
      <c r="F61" s="74"/>
      <c r="G61" s="5"/>
      <c r="H61" s="6"/>
    </row>
    <row r="62" spans="1:8" ht="20.25" customHeight="1" outlineLevel="1" x14ac:dyDescent="0.25">
      <c r="A62" s="7" t="s">
        <v>141</v>
      </c>
      <c r="B62" s="31" t="s">
        <v>142</v>
      </c>
      <c r="C62" s="5"/>
      <c r="D62" s="74"/>
      <c r="E62" s="74"/>
      <c r="F62" s="74"/>
      <c r="G62" s="5"/>
      <c r="H62" s="6"/>
    </row>
    <row r="63" spans="1:8" ht="20.25" customHeight="1" outlineLevel="1" x14ac:dyDescent="0.25">
      <c r="A63" s="7">
        <v>4.4000000000000004</v>
      </c>
      <c r="B63" s="31" t="s">
        <v>130</v>
      </c>
      <c r="C63" s="5"/>
      <c r="D63" s="74"/>
      <c r="E63" s="74"/>
      <c r="F63" s="74"/>
      <c r="G63" s="5"/>
      <c r="H63" s="6"/>
    </row>
    <row r="64" spans="1:8" ht="20.25" customHeight="1" outlineLevel="1" x14ac:dyDescent="0.25">
      <c r="A64" s="7">
        <v>4.5</v>
      </c>
      <c r="B64" s="31" t="s">
        <v>108</v>
      </c>
      <c r="C64" s="5"/>
      <c r="D64" s="74"/>
      <c r="E64" s="74"/>
      <c r="F64" s="4"/>
      <c r="G64" s="5"/>
      <c r="H64" s="6"/>
    </row>
    <row r="65" spans="1:8" ht="20.25" customHeight="1" outlineLevel="1" x14ac:dyDescent="0.25">
      <c r="A65" s="7">
        <v>4.5999999999999996</v>
      </c>
      <c r="B65" s="31" t="s">
        <v>103</v>
      </c>
      <c r="C65" s="5"/>
      <c r="D65" s="74"/>
      <c r="E65" s="74"/>
      <c r="F65" s="4"/>
      <c r="G65" s="5"/>
      <c r="H65" s="6"/>
    </row>
    <row r="66" spans="1:8" ht="20.25" customHeight="1" outlineLevel="1" x14ac:dyDescent="0.25">
      <c r="A66" s="7">
        <v>4.7</v>
      </c>
      <c r="B66" s="31" t="s">
        <v>100</v>
      </c>
      <c r="C66" s="5"/>
      <c r="D66" s="74"/>
      <c r="E66" s="74"/>
      <c r="F66" s="4"/>
      <c r="G66" s="5"/>
      <c r="H66" s="6"/>
    </row>
    <row r="67" spans="1:8" ht="20.25" customHeight="1" outlineLevel="1" x14ac:dyDescent="0.25">
      <c r="A67" s="7">
        <v>4.8</v>
      </c>
      <c r="B67" s="31" t="s">
        <v>132</v>
      </c>
      <c r="C67" s="5"/>
      <c r="D67" s="74"/>
      <c r="E67" s="74"/>
      <c r="F67" s="4"/>
      <c r="G67" s="5"/>
      <c r="H67" s="6"/>
    </row>
    <row r="68" spans="1:8" ht="20.25" customHeight="1" outlineLevel="1" x14ac:dyDescent="0.25">
      <c r="A68" s="7">
        <v>4.9000000000000004</v>
      </c>
      <c r="B68" s="32" t="s">
        <v>133</v>
      </c>
      <c r="C68" s="5"/>
      <c r="D68" s="74"/>
      <c r="E68" s="74"/>
      <c r="F68" s="4"/>
      <c r="G68" s="5"/>
      <c r="H68" s="6"/>
    </row>
    <row r="69" spans="1:8" ht="20.25" customHeight="1" outlineLevel="1" x14ac:dyDescent="0.25">
      <c r="A69" s="12">
        <v>4.0999999999999996</v>
      </c>
      <c r="B69" s="31" t="s">
        <v>45</v>
      </c>
      <c r="C69" s="5"/>
      <c r="D69" s="74"/>
      <c r="E69" s="74"/>
      <c r="F69" s="4"/>
      <c r="G69" s="5"/>
      <c r="H69" s="6"/>
    </row>
    <row r="70" spans="1:8" ht="20.25" customHeight="1" outlineLevel="1" x14ac:dyDescent="0.25">
      <c r="A70" s="12">
        <v>4.1100000000000003</v>
      </c>
      <c r="B70" s="32" t="s">
        <v>95</v>
      </c>
      <c r="C70" s="5"/>
      <c r="D70" s="4"/>
      <c r="E70" s="74"/>
      <c r="F70" s="4"/>
      <c r="G70" s="5"/>
      <c r="H70" s="6"/>
    </row>
    <row r="71" spans="1:8" ht="20.25" customHeight="1" outlineLevel="1" x14ac:dyDescent="0.3">
      <c r="A71" s="12">
        <v>4.12</v>
      </c>
      <c r="B71" s="101" t="s">
        <v>131</v>
      </c>
      <c r="C71" s="5"/>
      <c r="D71" s="4"/>
      <c r="E71" s="74"/>
      <c r="F71" s="4"/>
      <c r="G71" s="5"/>
      <c r="H71" s="6"/>
    </row>
    <row r="72" spans="1:8" ht="20.25" customHeight="1" outlineLevel="1" collapsed="1" x14ac:dyDescent="0.25">
      <c r="A72" s="12">
        <v>4.13</v>
      </c>
      <c r="B72" s="5"/>
      <c r="C72" s="5"/>
      <c r="D72" s="4"/>
      <c r="E72" s="74"/>
      <c r="F72" s="4"/>
      <c r="G72" s="5"/>
      <c r="H72" s="6"/>
    </row>
    <row r="73" spans="1:8" ht="20.25" customHeight="1" outlineLevel="1" x14ac:dyDescent="0.25">
      <c r="A73" s="12">
        <v>4.1399999999999997</v>
      </c>
      <c r="B73" s="5"/>
      <c r="C73" s="5"/>
      <c r="D73" s="4"/>
      <c r="E73" s="74"/>
      <c r="F73" s="4"/>
      <c r="G73" s="5"/>
      <c r="H73" s="6"/>
    </row>
    <row r="74" spans="1:8" ht="20.25" customHeight="1" outlineLevel="1" x14ac:dyDescent="0.25">
      <c r="A74" s="12">
        <v>4.1500000000000004</v>
      </c>
      <c r="B74" s="5"/>
      <c r="C74" s="5"/>
      <c r="D74" s="4"/>
      <c r="E74" s="74"/>
      <c r="F74" s="4"/>
      <c r="G74" s="5"/>
      <c r="H74" s="6"/>
    </row>
    <row r="75" spans="1:8" ht="20.25" customHeight="1" outlineLevel="1" x14ac:dyDescent="0.25">
      <c r="A75" s="12">
        <v>4.16</v>
      </c>
      <c r="B75" s="5"/>
      <c r="C75" s="5"/>
      <c r="D75" s="4"/>
      <c r="E75" s="74"/>
      <c r="F75" s="4"/>
      <c r="G75" s="5"/>
      <c r="H75" s="6"/>
    </row>
    <row r="76" spans="1:8" ht="20.25" customHeight="1" outlineLevel="1" x14ac:dyDescent="0.25">
      <c r="A76" s="12">
        <v>4.17</v>
      </c>
      <c r="B76" s="5"/>
      <c r="C76" s="5"/>
      <c r="D76" s="4"/>
      <c r="E76" s="74"/>
      <c r="F76" s="4"/>
      <c r="G76" s="5"/>
      <c r="H76" s="6"/>
    </row>
    <row r="77" spans="1:8" ht="20.25" customHeight="1" outlineLevel="1" x14ac:dyDescent="0.25">
      <c r="A77" s="12">
        <v>4.1800000000000104</v>
      </c>
      <c r="B77" s="5"/>
      <c r="C77" s="5"/>
      <c r="D77" s="4"/>
      <c r="E77" s="74"/>
      <c r="F77" s="4"/>
      <c r="G77" s="5"/>
      <c r="H77" s="6"/>
    </row>
    <row r="78" spans="1:8" ht="20.25" customHeight="1" outlineLevel="1" x14ac:dyDescent="0.25">
      <c r="A78" s="12">
        <v>4.1900000000000102</v>
      </c>
      <c r="B78" s="5"/>
      <c r="C78" s="5"/>
      <c r="D78" s="4"/>
      <c r="E78" s="74"/>
      <c r="F78" s="4"/>
      <c r="G78" s="5"/>
      <c r="H78" s="6"/>
    </row>
    <row r="79" spans="1:8" ht="20.25" customHeight="1" outlineLevel="1" x14ac:dyDescent="0.25">
      <c r="A79" s="12">
        <v>4.2000000000000099</v>
      </c>
      <c r="B79" s="5"/>
      <c r="C79" s="5"/>
      <c r="D79" s="4"/>
      <c r="E79" s="74"/>
      <c r="F79" s="4"/>
      <c r="G79" s="5"/>
      <c r="H79" s="6"/>
    </row>
    <row r="80" spans="1:8" ht="20.25" customHeight="1" outlineLevel="1" x14ac:dyDescent="0.25">
      <c r="A80" s="12">
        <v>4.2100000000000097</v>
      </c>
      <c r="B80" s="5"/>
      <c r="C80" s="5"/>
      <c r="D80" s="4"/>
      <c r="E80" s="74"/>
      <c r="F80" s="4"/>
      <c r="G80" s="5"/>
      <c r="H80" s="6"/>
    </row>
    <row r="81" spans="1:8" ht="20.25" customHeight="1" outlineLevel="1" x14ac:dyDescent="0.25">
      <c r="A81" s="12">
        <v>4.2200000000000104</v>
      </c>
      <c r="B81" s="5"/>
      <c r="C81" s="5"/>
      <c r="D81" s="4"/>
      <c r="E81" s="74"/>
      <c r="F81" s="4"/>
      <c r="G81" s="5"/>
      <c r="H81" s="6"/>
    </row>
    <row r="82" spans="1:8" ht="20.25" customHeight="1" outlineLevel="1" x14ac:dyDescent="0.25">
      <c r="A82" s="12">
        <v>4.2300000000000102</v>
      </c>
      <c r="B82" s="5"/>
      <c r="C82" s="5"/>
      <c r="D82" s="4"/>
      <c r="E82" s="74"/>
      <c r="F82" s="4"/>
      <c r="G82" s="5"/>
      <c r="H82" s="6"/>
    </row>
    <row r="83" spans="1:8" ht="20.25" customHeight="1" outlineLevel="1" x14ac:dyDescent="0.25">
      <c r="A83" s="12">
        <v>4.24000000000001</v>
      </c>
      <c r="B83" s="5"/>
      <c r="C83" s="5"/>
      <c r="D83" s="4"/>
      <c r="E83" s="74"/>
      <c r="F83" s="4"/>
      <c r="G83" s="5"/>
      <c r="H83" s="6"/>
    </row>
    <row r="84" spans="1:8" x14ac:dyDescent="0.25">
      <c r="A84" s="136"/>
      <c r="B84" s="136"/>
      <c r="C84" s="136"/>
      <c r="D84" s="136"/>
      <c r="E84" s="136"/>
      <c r="F84" s="136"/>
      <c r="G84" s="136"/>
      <c r="H84" s="136"/>
    </row>
    <row r="85" spans="1:8" x14ac:dyDescent="0.25">
      <c r="A85" s="13">
        <v>5</v>
      </c>
      <c r="B85" s="137" t="s">
        <v>162</v>
      </c>
      <c r="C85" s="138"/>
      <c r="D85" s="138"/>
      <c r="E85" s="138"/>
      <c r="F85" s="138"/>
      <c r="G85" s="138"/>
      <c r="H85" s="139"/>
    </row>
    <row r="86" spans="1:8" ht="16.5" outlineLevel="1" x14ac:dyDescent="0.3">
      <c r="A86" s="7">
        <v>5.0999999999999996</v>
      </c>
      <c r="B86" s="101" t="s">
        <v>106</v>
      </c>
      <c r="C86" s="5"/>
      <c r="D86" s="74"/>
      <c r="E86" s="74"/>
      <c r="F86" s="4"/>
      <c r="G86" s="5"/>
      <c r="H86" s="6" t="s">
        <v>50</v>
      </c>
    </row>
    <row r="87" spans="1:8" ht="16.5" outlineLevel="1" x14ac:dyDescent="0.25">
      <c r="A87" s="7">
        <v>5.2</v>
      </c>
      <c r="B87" s="31" t="s">
        <v>136</v>
      </c>
      <c r="C87" s="5"/>
      <c r="D87" s="74"/>
      <c r="E87" s="74"/>
      <c r="F87" s="4"/>
      <c r="G87" s="5"/>
      <c r="H87" s="6"/>
    </row>
    <row r="88" spans="1:8" ht="16.5" outlineLevel="1" x14ac:dyDescent="0.25">
      <c r="A88" s="7">
        <v>0.20833333333333334</v>
      </c>
      <c r="B88" s="31" t="s">
        <v>139</v>
      </c>
      <c r="C88" s="5"/>
      <c r="D88" s="74"/>
      <c r="E88" s="74"/>
      <c r="F88" s="74"/>
      <c r="G88" s="5"/>
      <c r="H88" s="6"/>
    </row>
    <row r="89" spans="1:8" ht="16.5" outlineLevel="1" x14ac:dyDescent="0.25">
      <c r="A89" s="7">
        <v>5.3</v>
      </c>
      <c r="B89" s="31" t="s">
        <v>130</v>
      </c>
      <c r="C89" s="5"/>
      <c r="D89" s="74"/>
      <c r="E89" s="74"/>
      <c r="F89" s="4"/>
      <c r="G89" s="5"/>
      <c r="H89" s="6"/>
    </row>
    <row r="90" spans="1:8" ht="33" outlineLevel="1" x14ac:dyDescent="0.25">
      <c r="A90" s="7">
        <v>5.4</v>
      </c>
      <c r="B90" s="31" t="s">
        <v>108</v>
      </c>
      <c r="C90" s="5"/>
      <c r="D90" s="74"/>
      <c r="E90" s="74"/>
      <c r="F90" s="4"/>
      <c r="G90" s="5"/>
      <c r="H90" s="6"/>
    </row>
    <row r="91" spans="1:8" ht="33" outlineLevel="1" x14ac:dyDescent="0.25">
      <c r="A91" s="7">
        <v>5.5</v>
      </c>
      <c r="B91" s="31" t="s">
        <v>103</v>
      </c>
      <c r="C91" s="5"/>
      <c r="D91" s="4"/>
      <c r="E91" s="74"/>
      <c r="F91" s="4"/>
      <c r="G91" s="5"/>
      <c r="H91" s="6"/>
    </row>
    <row r="92" spans="1:8" ht="16.5" outlineLevel="1" x14ac:dyDescent="0.25">
      <c r="A92" s="7">
        <v>5.6</v>
      </c>
      <c r="B92" s="31" t="s">
        <v>100</v>
      </c>
      <c r="C92" s="5"/>
      <c r="D92" s="4"/>
      <c r="E92" s="74"/>
      <c r="F92" s="4"/>
      <c r="G92" s="5"/>
      <c r="H92" s="6"/>
    </row>
    <row r="93" spans="1:8" ht="16.5" outlineLevel="1" x14ac:dyDescent="0.25">
      <c r="A93" s="7">
        <v>5.7</v>
      </c>
      <c r="B93" s="31" t="s">
        <v>132</v>
      </c>
      <c r="C93" s="5" t="s">
        <v>93</v>
      </c>
      <c r="D93" s="4"/>
      <c r="E93" s="74"/>
      <c r="F93" s="4"/>
      <c r="G93" s="5"/>
      <c r="H93" s="6"/>
    </row>
    <row r="94" spans="1:8" ht="16.5" outlineLevel="1" x14ac:dyDescent="0.25">
      <c r="A94" s="7">
        <v>5.8</v>
      </c>
      <c r="B94" s="32" t="s">
        <v>133</v>
      </c>
      <c r="C94" s="5" t="s">
        <v>137</v>
      </c>
      <c r="D94" s="4"/>
      <c r="E94" s="74"/>
      <c r="F94" s="4"/>
      <c r="G94" s="5"/>
      <c r="H94" s="6"/>
    </row>
    <row r="95" spans="1:8" ht="16.5" outlineLevel="1" x14ac:dyDescent="0.25">
      <c r="A95" s="7">
        <v>5.9</v>
      </c>
      <c r="B95" s="31" t="s">
        <v>45</v>
      </c>
      <c r="C95" s="5" t="s">
        <v>93</v>
      </c>
      <c r="D95" s="4"/>
      <c r="E95" s="74"/>
      <c r="F95" s="4"/>
      <c r="G95" s="5"/>
      <c r="H95" s="6"/>
    </row>
    <row r="96" spans="1:8" ht="16.5" outlineLevel="1" x14ac:dyDescent="0.25">
      <c r="A96" s="12">
        <v>5.0999999999999996</v>
      </c>
      <c r="B96" s="32" t="s">
        <v>95</v>
      </c>
      <c r="C96" s="5" t="s">
        <v>93</v>
      </c>
      <c r="D96" s="4"/>
      <c r="E96" s="74"/>
      <c r="F96" s="4"/>
      <c r="G96" s="5"/>
      <c r="H96" s="6"/>
    </row>
    <row r="97" spans="1:8" ht="16.5" outlineLevel="1" x14ac:dyDescent="0.3">
      <c r="A97" s="12">
        <v>5.1100000000000003</v>
      </c>
      <c r="B97" s="101" t="s">
        <v>131</v>
      </c>
      <c r="C97" s="5" t="s">
        <v>93</v>
      </c>
      <c r="D97" s="4"/>
      <c r="E97" s="74"/>
      <c r="F97" s="4"/>
      <c r="G97" s="5"/>
      <c r="H97" s="6"/>
    </row>
    <row r="98" spans="1:8" x14ac:dyDescent="0.25">
      <c r="A98" s="136"/>
      <c r="B98" s="136"/>
      <c r="C98" s="136"/>
      <c r="D98" s="136"/>
      <c r="E98" s="136"/>
      <c r="F98" s="136"/>
      <c r="G98" s="136"/>
      <c r="H98" s="136"/>
    </row>
    <row r="99" spans="1:8" ht="20.25" customHeight="1" x14ac:dyDescent="0.25">
      <c r="A99" s="13">
        <v>6</v>
      </c>
      <c r="B99" s="137" t="s">
        <v>163</v>
      </c>
      <c r="C99" s="138"/>
      <c r="D99" s="138"/>
      <c r="E99" s="138"/>
      <c r="F99" s="138"/>
      <c r="G99" s="138"/>
      <c r="H99" s="139"/>
    </row>
    <row r="100" spans="1:8" ht="12.75" customHeight="1" outlineLevel="1" collapsed="1" x14ac:dyDescent="0.25">
      <c r="A100" s="7">
        <v>6.1</v>
      </c>
      <c r="B100" s="5" t="s">
        <v>140</v>
      </c>
      <c r="C100" s="5"/>
      <c r="D100" s="4"/>
      <c r="E100" s="74"/>
      <c r="F100" s="4"/>
      <c r="G100" s="5"/>
      <c r="H100" s="6"/>
    </row>
    <row r="101" spans="1:8" hidden="1" x14ac:dyDescent="0.25">
      <c r="A101" s="7">
        <v>6.2</v>
      </c>
      <c r="B101" s="5"/>
      <c r="C101" s="5"/>
      <c r="D101" s="4"/>
      <c r="E101" s="74"/>
      <c r="F101" s="4"/>
      <c r="G101" s="5"/>
      <c r="H101" s="6"/>
    </row>
    <row r="102" spans="1:8" hidden="1" x14ac:dyDescent="0.25">
      <c r="A102" s="7">
        <v>6.3</v>
      </c>
      <c r="B102" s="5"/>
      <c r="C102" s="5"/>
      <c r="D102" s="4"/>
      <c r="E102" s="74"/>
      <c r="F102" s="4"/>
      <c r="G102" s="5"/>
      <c r="H102" s="6"/>
    </row>
    <row r="103" spans="1:8" hidden="1" x14ac:dyDescent="0.25">
      <c r="A103" s="7">
        <v>6.4</v>
      </c>
      <c r="B103" s="5"/>
      <c r="C103" s="5"/>
      <c r="D103" s="4"/>
      <c r="E103" s="74"/>
      <c r="F103" s="4"/>
      <c r="G103" s="5"/>
      <c r="H103" s="6"/>
    </row>
    <row r="104" spans="1:8" hidden="1" x14ac:dyDescent="0.25">
      <c r="A104" s="7">
        <v>6.5</v>
      </c>
      <c r="B104" s="5"/>
      <c r="C104" s="5"/>
      <c r="D104" s="4"/>
      <c r="E104" s="74"/>
      <c r="F104" s="4"/>
      <c r="G104" s="5"/>
      <c r="H104" s="6"/>
    </row>
    <row r="105" spans="1:8" hidden="1" x14ac:dyDescent="0.25">
      <c r="A105" s="7">
        <v>6.6</v>
      </c>
      <c r="B105" s="5"/>
      <c r="C105" s="5"/>
      <c r="D105" s="4"/>
      <c r="E105" s="74"/>
      <c r="F105" s="4"/>
      <c r="G105" s="5"/>
      <c r="H105" s="6"/>
    </row>
    <row r="106" spans="1:8" hidden="1" x14ac:dyDescent="0.25">
      <c r="A106" s="7">
        <v>6.7</v>
      </c>
      <c r="B106" s="5"/>
      <c r="C106" s="5"/>
      <c r="D106" s="4"/>
      <c r="E106" s="74"/>
      <c r="F106" s="4"/>
      <c r="G106" s="5"/>
      <c r="H106" s="6"/>
    </row>
    <row r="107" spans="1:8" hidden="1" x14ac:dyDescent="0.25">
      <c r="A107" s="136"/>
      <c r="B107" s="136"/>
      <c r="C107" s="136"/>
      <c r="D107" s="136"/>
      <c r="E107" s="136"/>
      <c r="F107" s="136"/>
      <c r="G107" s="136"/>
      <c r="H107" s="136"/>
    </row>
    <row r="108" spans="1:8" hidden="1" x14ac:dyDescent="0.25">
      <c r="A108" s="13">
        <v>7</v>
      </c>
      <c r="B108" s="137" t="s">
        <v>125</v>
      </c>
      <c r="C108" s="138"/>
      <c r="D108" s="138"/>
      <c r="E108" s="138"/>
      <c r="F108" s="138"/>
      <c r="G108" s="138"/>
      <c r="H108" s="139"/>
    </row>
    <row r="109" spans="1:8" hidden="1" x14ac:dyDescent="0.25">
      <c r="A109" s="7"/>
      <c r="B109" s="5"/>
      <c r="C109" s="5"/>
      <c r="D109" s="4"/>
      <c r="E109" s="74"/>
      <c r="F109" s="4"/>
      <c r="G109" s="5"/>
      <c r="H109" s="6"/>
    </row>
    <row r="110" spans="1:8" hidden="1" x14ac:dyDescent="0.25">
      <c r="A110" s="7"/>
      <c r="B110" s="5"/>
      <c r="C110" s="5"/>
      <c r="D110" s="4"/>
      <c r="E110" s="74"/>
      <c r="F110" s="4"/>
      <c r="G110" s="5"/>
      <c r="H110" s="6"/>
    </row>
    <row r="111" spans="1:8" hidden="1" x14ac:dyDescent="0.25">
      <c r="A111" s="7"/>
      <c r="B111" s="5"/>
      <c r="C111" s="5"/>
      <c r="D111" s="4"/>
      <c r="E111" s="74"/>
      <c r="F111" s="4"/>
      <c r="G111" s="5"/>
      <c r="H111" s="6"/>
    </row>
    <row r="112" spans="1:8" ht="15.75" customHeight="1" collapsed="1" x14ac:dyDescent="0.25">
      <c r="A112" s="136"/>
      <c r="B112" s="136"/>
      <c r="C112" s="136"/>
      <c r="D112" s="136"/>
      <c r="E112" s="136"/>
      <c r="F112" s="136"/>
      <c r="G112" s="136"/>
      <c r="H112" s="136"/>
    </row>
    <row r="113" spans="1:8" ht="19.5" customHeight="1" x14ac:dyDescent="0.25">
      <c r="A113" s="13">
        <v>7</v>
      </c>
      <c r="B113" s="137" t="s">
        <v>164</v>
      </c>
      <c r="C113" s="138"/>
      <c r="D113" s="138"/>
      <c r="E113" s="138"/>
      <c r="F113" s="138"/>
      <c r="G113" s="138"/>
      <c r="H113" s="139"/>
    </row>
    <row r="114" spans="1:8" outlineLevel="1" x14ac:dyDescent="0.25">
      <c r="A114" s="7"/>
      <c r="B114" s="5"/>
      <c r="C114" s="5"/>
      <c r="D114" s="4"/>
      <c r="E114" s="74"/>
      <c r="F114" s="4"/>
      <c r="G114" s="5"/>
      <c r="H114" s="6"/>
    </row>
    <row r="115" spans="1:8" outlineLevel="1" x14ac:dyDescent="0.25">
      <c r="A115" s="7"/>
      <c r="B115" s="5"/>
      <c r="C115" s="5"/>
      <c r="D115" s="4"/>
      <c r="E115" s="74"/>
      <c r="F115" s="4"/>
      <c r="G115" s="5"/>
      <c r="H115" s="6"/>
    </row>
    <row r="116" spans="1:8" outlineLevel="1" x14ac:dyDescent="0.25">
      <c r="A116" s="7"/>
      <c r="B116" s="5"/>
      <c r="C116" s="5"/>
      <c r="D116" s="4"/>
      <c r="E116" s="74"/>
      <c r="F116" s="4"/>
      <c r="G116" s="5"/>
      <c r="H116" s="6"/>
    </row>
    <row r="117" spans="1:8" outlineLevel="1" x14ac:dyDescent="0.25">
      <c r="A117" s="7"/>
      <c r="B117" s="5"/>
      <c r="C117" s="5"/>
      <c r="D117" s="4"/>
      <c r="E117" s="74"/>
      <c r="F117" s="4"/>
      <c r="G117" s="5"/>
      <c r="H117" s="6"/>
    </row>
    <row r="118" spans="1:8" x14ac:dyDescent="0.25">
      <c r="A118" s="136"/>
      <c r="B118" s="136"/>
      <c r="C118" s="136"/>
      <c r="D118" s="136"/>
      <c r="E118" s="136"/>
      <c r="F118" s="136"/>
      <c r="G118" s="136"/>
      <c r="H118" s="136"/>
    </row>
    <row r="119" spans="1:8" ht="21" customHeight="1" x14ac:dyDescent="0.25">
      <c r="A119" s="13">
        <v>8</v>
      </c>
      <c r="B119" s="137" t="s">
        <v>165</v>
      </c>
      <c r="C119" s="138"/>
      <c r="D119" s="138"/>
      <c r="E119" s="138"/>
      <c r="F119" s="138"/>
      <c r="G119" s="138"/>
      <c r="H119" s="139"/>
    </row>
    <row r="120" spans="1:8" outlineLevel="1" collapsed="1" x14ac:dyDescent="0.25">
      <c r="A120" s="7"/>
      <c r="B120" s="5"/>
      <c r="C120" s="5"/>
      <c r="D120" s="4"/>
      <c r="E120" s="74"/>
      <c r="F120" s="4"/>
      <c r="G120" s="5"/>
      <c r="H120" s="6"/>
    </row>
    <row r="121" spans="1:8" ht="15" customHeight="1" outlineLevel="1" x14ac:dyDescent="0.25">
      <c r="A121" s="7"/>
      <c r="B121" s="5"/>
      <c r="C121" s="5"/>
      <c r="D121" s="4"/>
      <c r="E121" s="74"/>
      <c r="F121" s="4"/>
      <c r="G121" s="5"/>
      <c r="H121" s="6"/>
    </row>
    <row r="122" spans="1:8" ht="15" customHeight="1" outlineLevel="1" x14ac:dyDescent="0.25">
      <c r="A122" s="7"/>
      <c r="B122" s="5"/>
      <c r="C122" s="5"/>
      <c r="D122" s="4"/>
      <c r="E122" s="74"/>
      <c r="F122" s="4"/>
      <c r="G122" s="5"/>
      <c r="H122" s="6"/>
    </row>
    <row r="123" spans="1:8" ht="15" customHeight="1" x14ac:dyDescent="0.25"/>
  </sheetData>
  <customSheetViews>
    <customSheetView guid="{79CFC90F-9797-4F95-B835-584B9BD0A801}" showPageBreaks="1" showGridLines="0" view="pageLayout">
      <selection activeCell="H5" sqref="H5"/>
    </customSheetView>
  </customSheetViews>
  <mergeCells count="19">
    <mergeCell ref="A1:H1"/>
    <mergeCell ref="A3:H3"/>
    <mergeCell ref="B4:H4"/>
    <mergeCell ref="A27:H27"/>
    <mergeCell ref="B28:H28"/>
    <mergeCell ref="A112:H112"/>
    <mergeCell ref="B113:H113"/>
    <mergeCell ref="A118:H118"/>
    <mergeCell ref="B119:H119"/>
    <mergeCell ref="A41:H41"/>
    <mergeCell ref="B99:H99"/>
    <mergeCell ref="B42:H42"/>
    <mergeCell ref="A57:H57"/>
    <mergeCell ref="B58:H58"/>
    <mergeCell ref="A84:H84"/>
    <mergeCell ref="B85:H85"/>
    <mergeCell ref="A98:H98"/>
    <mergeCell ref="A107:H107"/>
    <mergeCell ref="B108:H108"/>
  </mergeCells>
  <conditionalFormatting sqref="A28:B28 A58:B58 A85:B85 A4:B4 A99:B99 A5:H5 A55:H56 A72:H83 A100:H106 A123:H245 A6:A20 D6:H20 B7:C20 A21:H26 A29:A31 C29:H31 A32:H40 A86:A97 C86:H97 A59:A71 C59:H71 A42:A54 C43:H54">
    <cfRule type="expression" dxfId="42" priority="20">
      <formula>IF($H4="X", TRUE, FALSE)</formula>
    </cfRule>
  </conditionalFormatting>
  <conditionalFormatting sqref="A113:B113 A114:H117">
    <cfRule type="expression" dxfId="41" priority="18">
      <formula>IF($H113="X", TRUE, FALSE)</formula>
    </cfRule>
  </conditionalFormatting>
  <conditionalFormatting sqref="A108:B108 A109:H111">
    <cfRule type="expression" dxfId="40" priority="19">
      <formula>IF($H108="X", TRUE, FALSE)</formula>
    </cfRule>
  </conditionalFormatting>
  <conditionalFormatting sqref="C6">
    <cfRule type="expression" dxfId="39" priority="16">
      <formula>IF($H6="X", TRUE, FALSE)</formula>
    </cfRule>
  </conditionalFormatting>
  <conditionalFormatting sqref="B6">
    <cfRule type="expression" dxfId="38" priority="17">
      <formula>IF(#REF!="X", TRUE, FALSE)</formula>
    </cfRule>
  </conditionalFormatting>
  <conditionalFormatting sqref="B96:B97">
    <cfRule type="expression" dxfId="37" priority="9">
      <formula>IF($H96="X", TRUE, FALSE)</formula>
    </cfRule>
  </conditionalFormatting>
  <conditionalFormatting sqref="B30">
    <cfRule type="expression" dxfId="36" priority="14">
      <formula>IF(#REF!="X", TRUE, FALSE)</formula>
    </cfRule>
  </conditionalFormatting>
  <conditionalFormatting sqref="B29 B31">
    <cfRule type="expression" dxfId="35" priority="15">
      <formula>IF($H29="X", TRUE, FALSE)</formula>
    </cfRule>
  </conditionalFormatting>
  <conditionalFormatting sqref="A119:B119 A120:H122">
    <cfRule type="expression" dxfId="34" priority="13">
      <formula>IF($H119="X", TRUE, FALSE)</formula>
    </cfRule>
  </conditionalFormatting>
  <conditionalFormatting sqref="B86 B89:B90">
    <cfRule type="expression" dxfId="33" priority="12">
      <formula>IF($H86="X", TRUE, FALSE)</formula>
    </cfRule>
  </conditionalFormatting>
  <conditionalFormatting sqref="B87:B88">
    <cfRule type="expression" dxfId="32" priority="11">
      <formula>IF(#REF!="X", TRUE, FALSE)</formula>
    </cfRule>
  </conditionalFormatting>
  <conditionalFormatting sqref="B91:B95">
    <cfRule type="expression" dxfId="31" priority="10">
      <formula>IF($H91="X", TRUE, FALSE)</formula>
    </cfRule>
  </conditionalFormatting>
  <conditionalFormatting sqref="B70:B71">
    <cfRule type="expression" dxfId="30" priority="5">
      <formula>IF($H70="X", TRUE, FALSE)</formula>
    </cfRule>
  </conditionalFormatting>
  <conditionalFormatting sqref="B59 B63:B64">
    <cfRule type="expression" dxfId="29" priority="8">
      <formula>IF($H59="X", TRUE, FALSE)</formula>
    </cfRule>
  </conditionalFormatting>
  <conditionalFormatting sqref="B60:B62">
    <cfRule type="expression" dxfId="28" priority="7">
      <formula>IF(#REF!="X", TRUE, FALSE)</formula>
    </cfRule>
  </conditionalFormatting>
  <conditionalFormatting sqref="B65:B69">
    <cfRule type="expression" dxfId="27" priority="6">
      <formula>IF($H65="X", TRUE, FALSE)</formula>
    </cfRule>
  </conditionalFormatting>
  <conditionalFormatting sqref="B53:B54">
    <cfRule type="expression" dxfId="26" priority="1">
      <formula>IF($H53="X", TRUE, FALSE)</formula>
    </cfRule>
  </conditionalFormatting>
  <conditionalFormatting sqref="B43 B46:B47">
    <cfRule type="expression" dxfId="25" priority="4">
      <formula>IF($H43="X", TRUE, FALSE)</formula>
    </cfRule>
  </conditionalFormatting>
  <conditionalFormatting sqref="B44:B45">
    <cfRule type="expression" dxfId="24" priority="3">
      <formula>IF(#REF!="X", TRUE, FALSE)</formula>
    </cfRule>
  </conditionalFormatting>
  <conditionalFormatting sqref="B48:B52">
    <cfRule type="expression" dxfId="23" priority="2">
      <formula>IF($H48="X", TRUE, FALSE)</formula>
    </cfRule>
  </conditionalFormatting>
  <dataValidations count="1">
    <dataValidation allowBlank="1" showInputMessage="1" showErrorMessage="1" promptTitle="Task ID" prompt="Use this number when referring to a specific task" sqref="A2"/>
  </dataValidations>
  <pageMargins left="0.25" right="0.25" top="1" bottom="0.75" header="0.3" footer="0.3"/>
  <pageSetup orientation="landscape" r:id="rId1"/>
  <headerFooter>
    <oddHeader>&amp;C&amp;"-,Bold"&amp;18MASTER PROJECT PLAN
&amp;"-,Bold Italic"4.0 Release</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Links!$G$2:$G$3</xm:f>
          </x14:formula1>
          <xm:sqref>H29:H40 H43:H56 H59:H83 H86:H97 H100:H106 H5:H26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5"/>
  <sheetViews>
    <sheetView showGridLines="0" view="pageLayout" zoomScaleNormal="100" workbookViewId="0">
      <selection activeCell="E4" sqref="E4"/>
    </sheetView>
  </sheetViews>
  <sheetFormatPr defaultRowHeight="15" x14ac:dyDescent="0.25"/>
  <cols>
    <col min="1" max="1" width="5.42578125" customWidth="1"/>
    <col min="2" max="2" width="37.7109375" customWidth="1"/>
    <col min="3" max="3" width="16" customWidth="1"/>
    <col min="4" max="5" width="16.28515625" customWidth="1"/>
    <col min="6" max="6" width="13.28515625" style="14" bestFit="1" customWidth="1"/>
  </cols>
  <sheetData>
    <row r="1" spans="1:6" ht="4.5" customHeight="1" x14ac:dyDescent="0.25">
      <c r="A1" s="140"/>
      <c r="B1" s="141"/>
      <c r="C1" s="141"/>
      <c r="D1" s="141"/>
      <c r="E1" s="141"/>
      <c r="F1" s="142"/>
    </row>
    <row r="2" spans="1:6" x14ac:dyDescent="0.25">
      <c r="A2" s="15" t="s">
        <v>69</v>
      </c>
      <c r="B2" s="16" t="s">
        <v>53</v>
      </c>
      <c r="C2" s="98" t="s">
        <v>128</v>
      </c>
      <c r="D2" s="18" t="s">
        <v>126</v>
      </c>
      <c r="E2" s="78" t="s">
        <v>127</v>
      </c>
      <c r="F2" s="17" t="s">
        <v>152</v>
      </c>
    </row>
    <row r="3" spans="1:6" ht="4.5" customHeight="1" x14ac:dyDescent="0.25">
      <c r="A3" s="153"/>
      <c r="B3" s="154"/>
      <c r="C3" s="154"/>
      <c r="D3" s="154"/>
      <c r="E3" s="154"/>
      <c r="F3" s="155"/>
    </row>
    <row r="4" spans="1:6" x14ac:dyDescent="0.25">
      <c r="A4" s="121">
        <v>1</v>
      </c>
      <c r="B4" s="124" t="s">
        <v>154</v>
      </c>
      <c r="C4" s="121" t="s">
        <v>156</v>
      </c>
      <c r="D4" s="122" t="s">
        <v>157</v>
      </c>
      <c r="E4" s="122" t="s">
        <v>156</v>
      </c>
      <c r="F4" s="123"/>
    </row>
    <row r="5" spans="1:6" x14ac:dyDescent="0.25">
      <c r="A5" s="109"/>
      <c r="B5" s="110"/>
      <c r="C5" s="109"/>
      <c r="D5" s="111"/>
      <c r="E5" s="111"/>
      <c r="F5" s="112"/>
    </row>
    <row r="6" spans="1:6" x14ac:dyDescent="0.25">
      <c r="A6" s="113"/>
      <c r="B6" s="114"/>
      <c r="C6" s="113"/>
      <c r="D6" s="115"/>
      <c r="E6" s="115"/>
      <c r="F6" s="116"/>
    </row>
    <row r="7" spans="1:6" x14ac:dyDescent="0.25">
      <c r="A7" s="117"/>
      <c r="B7" s="118"/>
      <c r="C7" s="117"/>
      <c r="D7" s="119"/>
      <c r="E7" s="119"/>
      <c r="F7" s="120"/>
    </row>
    <row r="8" spans="1:6" x14ac:dyDescent="0.25">
      <c r="A8" s="87"/>
      <c r="B8" s="93"/>
      <c r="C8" s="87"/>
      <c r="D8" s="88"/>
      <c r="E8" s="88"/>
      <c r="F8" s="89"/>
    </row>
    <row r="9" spans="1:6" x14ac:dyDescent="0.25">
      <c r="A9" s="87"/>
      <c r="B9" s="93"/>
      <c r="C9" s="87"/>
      <c r="D9" s="88"/>
      <c r="E9" s="88"/>
      <c r="F9" s="89"/>
    </row>
    <row r="10" spans="1:6" x14ac:dyDescent="0.25">
      <c r="A10" s="117"/>
      <c r="B10" s="119"/>
      <c r="C10" s="117"/>
      <c r="D10" s="119"/>
      <c r="E10" s="119"/>
      <c r="F10" s="120"/>
    </row>
    <row r="11" spans="1:6" x14ac:dyDescent="0.25">
      <c r="A11" s="117"/>
      <c r="B11" s="119"/>
      <c r="C11" s="117"/>
      <c r="D11" s="119"/>
      <c r="E11" s="119"/>
      <c r="F11" s="120"/>
    </row>
    <row r="12" spans="1:6" x14ac:dyDescent="0.25">
      <c r="A12" s="117"/>
      <c r="B12" s="119"/>
      <c r="C12" s="117"/>
      <c r="D12" s="119"/>
      <c r="E12" s="119"/>
      <c r="F12" s="120"/>
    </row>
    <row r="13" spans="1:6" x14ac:dyDescent="0.25">
      <c r="A13" s="117"/>
      <c r="B13" s="119"/>
      <c r="C13" s="119"/>
      <c r="D13" s="119"/>
      <c r="E13" s="119"/>
      <c r="F13" s="119"/>
    </row>
    <row r="14" spans="1:6" x14ac:dyDescent="0.25">
      <c r="A14" s="125"/>
      <c r="B14" s="126" t="s">
        <v>153</v>
      </c>
      <c r="C14" s="125"/>
      <c r="D14" s="127"/>
      <c r="E14" s="127"/>
      <c r="F14" s="128"/>
    </row>
    <row r="15" spans="1:6" x14ac:dyDescent="0.25">
      <c r="A15" s="125"/>
      <c r="B15" s="127"/>
      <c r="C15" s="125"/>
      <c r="D15" s="127"/>
      <c r="E15" s="127"/>
      <c r="F15" s="128"/>
    </row>
    <row r="16" spans="1:6" x14ac:dyDescent="0.25">
      <c r="A16" s="90"/>
      <c r="B16" s="91"/>
      <c r="C16" s="90"/>
      <c r="D16" s="91"/>
      <c r="E16" s="91"/>
      <c r="F16" s="92"/>
    </row>
    <row r="17" spans="1:6" x14ac:dyDescent="0.25">
      <c r="A17" s="90"/>
      <c r="B17" s="91"/>
      <c r="C17" s="90"/>
      <c r="D17" s="91"/>
      <c r="E17" s="91"/>
      <c r="F17" s="92"/>
    </row>
    <row r="18" spans="1:6" x14ac:dyDescent="0.25">
      <c r="A18" s="90"/>
      <c r="B18" s="91"/>
      <c r="C18" s="90"/>
      <c r="D18" s="91"/>
      <c r="E18" s="91"/>
      <c r="F18" s="92"/>
    </row>
    <row r="19" spans="1:6" x14ac:dyDescent="0.25">
      <c r="A19" s="90"/>
      <c r="B19" s="94"/>
      <c r="C19" s="90"/>
      <c r="D19" s="91"/>
      <c r="E19" s="91"/>
      <c r="F19" s="92"/>
    </row>
    <row r="20" spans="1:6" x14ac:dyDescent="0.25">
      <c r="A20" s="90"/>
      <c r="B20" s="91"/>
      <c r="C20" s="90"/>
      <c r="D20" s="91"/>
      <c r="E20" s="91"/>
      <c r="F20" s="92"/>
    </row>
    <row r="21" spans="1:6" x14ac:dyDescent="0.25">
      <c r="A21" s="90"/>
      <c r="B21" s="91"/>
      <c r="C21" s="90"/>
      <c r="D21" s="91"/>
      <c r="E21" s="91"/>
      <c r="F21" s="92"/>
    </row>
    <row r="22" spans="1:6" x14ac:dyDescent="0.25">
      <c r="A22" s="103"/>
      <c r="B22" s="104"/>
      <c r="C22" s="103"/>
      <c r="D22" s="104"/>
      <c r="E22" s="104"/>
      <c r="F22" s="105"/>
    </row>
    <row r="23" spans="1:6" x14ac:dyDescent="0.25">
      <c r="A23" s="106"/>
      <c r="B23" s="106"/>
      <c r="C23" s="106"/>
      <c r="D23" s="106"/>
      <c r="E23" s="106"/>
      <c r="F23" s="107"/>
    </row>
    <row r="24" spans="1:6" x14ac:dyDescent="0.25">
      <c r="A24" s="106"/>
      <c r="B24" s="106"/>
      <c r="C24" s="106"/>
      <c r="D24" s="106"/>
      <c r="E24" s="106"/>
      <c r="F24" s="107"/>
    </row>
    <row r="25" spans="1:6" x14ac:dyDescent="0.25">
      <c r="A25" s="106"/>
      <c r="B25" s="106"/>
      <c r="C25" s="106"/>
      <c r="D25" s="106"/>
      <c r="E25" s="106"/>
      <c r="F25" s="107"/>
    </row>
  </sheetData>
  <customSheetViews>
    <customSheetView guid="{79CFC90F-9797-4F95-B835-584B9BD0A801}" showPageBreaks="1" showGridLines="0" view="pageLayout">
      <selection activeCell="B4" sqref="B4"/>
    </customSheetView>
  </customSheetViews>
  <mergeCells count="2">
    <mergeCell ref="A1:F1"/>
    <mergeCell ref="A3:F3"/>
  </mergeCells>
  <pageMargins left="0.25" right="0.25" top="1" bottom="0.75" header="0.3" footer="0.3"/>
  <pageSetup orientation="landscape" r:id="rId1"/>
  <headerFooter>
    <oddHeader>&amp;C&amp;"-,Bold"&amp;18SME Team Members&amp;"-,Regular"&amp;11
&amp;10(Content Development Team)</oddHead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Links!$E$2:$E$4</xm:f>
          </x14:formula1>
          <xm:sqref>F4:F12 F14:F22</xm:sqref>
        </x14:dataValidation>
        <x14:dataValidation type="list" allowBlank="1" showInputMessage="1" showErrorMessage="1">
          <x14:formula1>
            <xm:f>Link!$A$2:$A$17</xm:f>
          </x14:formula1>
          <xm:sqref>C4:E13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23"/>
  <sheetViews>
    <sheetView showGridLines="0" view="pageLayout" zoomScaleNormal="100" workbookViewId="0">
      <selection activeCell="B4" sqref="B4"/>
    </sheetView>
  </sheetViews>
  <sheetFormatPr defaultRowHeight="15" x14ac:dyDescent="0.25"/>
  <cols>
    <col min="1" max="1" width="2.85546875" bestFit="1" customWidth="1"/>
    <col min="2" max="2" width="41.140625" customWidth="1"/>
    <col min="3" max="3" width="17.5703125" customWidth="1"/>
    <col min="4" max="4" width="13.140625" style="79" customWidth="1"/>
    <col min="5" max="5" width="10.28515625" style="79" customWidth="1"/>
    <col min="6" max="6" width="34" style="97" customWidth="1"/>
    <col min="7" max="7" width="9.28515625" style="79" customWidth="1"/>
  </cols>
  <sheetData>
    <row r="1" spans="1:7" ht="4.5" customHeight="1" x14ac:dyDescent="0.25">
      <c r="A1" s="81"/>
      <c r="B1" s="82"/>
      <c r="C1" s="82"/>
      <c r="D1" s="82"/>
      <c r="E1" s="82"/>
      <c r="F1" s="96"/>
      <c r="G1" s="83"/>
    </row>
    <row r="2" spans="1:7" ht="45" x14ac:dyDescent="0.25">
      <c r="A2" s="15" t="s">
        <v>69</v>
      </c>
      <c r="B2" s="16" t="s">
        <v>8</v>
      </c>
      <c r="C2" s="16" t="s">
        <v>9</v>
      </c>
      <c r="D2" s="78" t="s">
        <v>11</v>
      </c>
      <c r="E2" s="78" t="s">
        <v>10</v>
      </c>
      <c r="F2" s="78" t="s">
        <v>6</v>
      </c>
      <c r="G2" s="17" t="s">
        <v>52</v>
      </c>
    </row>
    <row r="3" spans="1:7" ht="4.5" customHeight="1" x14ac:dyDescent="0.25">
      <c r="A3" s="84"/>
      <c r="B3" s="85"/>
      <c r="C3" s="85"/>
      <c r="D3" s="85"/>
      <c r="E3" s="85"/>
      <c r="F3" s="85"/>
      <c r="G3" s="86"/>
    </row>
    <row r="4" spans="1:7" x14ac:dyDescent="0.25">
      <c r="A4" s="4">
        <v>1</v>
      </c>
      <c r="B4" s="5"/>
      <c r="C4" s="5"/>
      <c r="D4" s="95"/>
      <c r="E4" s="6"/>
      <c r="F4" s="25"/>
      <c r="G4" s="25"/>
    </row>
    <row r="5" spans="1:7" x14ac:dyDescent="0.25">
      <c r="A5" s="4">
        <v>2</v>
      </c>
      <c r="B5" s="5"/>
      <c r="C5" s="5"/>
      <c r="D5" s="95"/>
      <c r="E5" s="95"/>
      <c r="F5" s="25"/>
      <c r="G5" s="25"/>
    </row>
    <row r="6" spans="1:7" x14ac:dyDescent="0.25">
      <c r="A6" s="4">
        <v>3</v>
      </c>
      <c r="B6" s="5"/>
      <c r="C6" s="5"/>
      <c r="D6" s="6"/>
      <c r="E6" s="6"/>
      <c r="F6" s="25"/>
      <c r="G6" s="25"/>
    </row>
    <row r="7" spans="1:7" x14ac:dyDescent="0.25">
      <c r="A7" s="4">
        <v>4</v>
      </c>
      <c r="B7" s="5"/>
      <c r="C7" s="5"/>
      <c r="D7" s="95"/>
      <c r="E7" s="95"/>
      <c r="F7" s="25"/>
      <c r="G7" s="25"/>
    </row>
    <row r="8" spans="1:7" x14ac:dyDescent="0.25">
      <c r="A8" s="4">
        <v>5</v>
      </c>
      <c r="B8" s="5"/>
      <c r="C8" s="5"/>
      <c r="D8" s="95"/>
      <c r="E8" s="95"/>
      <c r="F8" s="25"/>
      <c r="G8" s="25"/>
    </row>
    <row r="9" spans="1:7" x14ac:dyDescent="0.25">
      <c r="A9" s="4">
        <v>6</v>
      </c>
      <c r="B9" s="48"/>
      <c r="C9" s="5"/>
      <c r="D9" s="6"/>
      <c r="E9" s="95"/>
      <c r="F9" s="108"/>
      <c r="G9" s="25"/>
    </row>
    <row r="10" spans="1:7" x14ac:dyDescent="0.25">
      <c r="A10" s="4">
        <v>7</v>
      </c>
      <c r="B10" s="5"/>
      <c r="C10" s="5"/>
      <c r="D10" s="95"/>
      <c r="E10" s="6"/>
      <c r="F10" s="76"/>
      <c r="G10" s="25"/>
    </row>
    <row r="11" spans="1:7" x14ac:dyDescent="0.25">
      <c r="A11" s="4">
        <v>8</v>
      </c>
      <c r="B11" s="5"/>
      <c r="C11" s="5"/>
      <c r="D11" s="95"/>
      <c r="E11" s="95"/>
      <c r="F11" s="25"/>
      <c r="G11" s="25"/>
    </row>
    <row r="12" spans="1:7" x14ac:dyDescent="0.25">
      <c r="A12" s="4">
        <v>9</v>
      </c>
      <c r="B12" s="5"/>
      <c r="C12" s="5"/>
      <c r="D12" s="6"/>
      <c r="E12" s="6"/>
      <c r="F12" s="25"/>
      <c r="G12" s="25"/>
    </row>
    <row r="13" spans="1:7" x14ac:dyDescent="0.25">
      <c r="A13" s="4">
        <v>10</v>
      </c>
      <c r="B13" s="5"/>
      <c r="C13" s="5"/>
      <c r="D13" s="6"/>
      <c r="E13" s="6"/>
      <c r="F13" s="25"/>
      <c r="G13" s="25"/>
    </row>
    <row r="14" spans="1:7" x14ac:dyDescent="0.25">
      <c r="A14" s="4">
        <v>11</v>
      </c>
      <c r="B14" s="5"/>
      <c r="C14" s="5"/>
      <c r="D14" s="6"/>
      <c r="E14" s="6"/>
      <c r="F14" s="25"/>
      <c r="G14" s="25"/>
    </row>
    <row r="15" spans="1:7" x14ac:dyDescent="0.25">
      <c r="A15" s="4">
        <v>12</v>
      </c>
      <c r="B15" s="5"/>
      <c r="C15" s="5"/>
      <c r="D15" s="6"/>
      <c r="E15" s="6"/>
      <c r="F15" s="25"/>
      <c r="G15" s="25"/>
    </row>
    <row r="16" spans="1:7" x14ac:dyDescent="0.25">
      <c r="A16" s="4">
        <v>13</v>
      </c>
      <c r="B16" s="5"/>
      <c r="C16" s="5"/>
      <c r="D16" s="6"/>
      <c r="E16" s="6"/>
      <c r="F16" s="25"/>
      <c r="G16" s="25"/>
    </row>
    <row r="17" spans="1:7" x14ac:dyDescent="0.25">
      <c r="A17" s="4">
        <v>14</v>
      </c>
      <c r="B17" s="5"/>
      <c r="C17" s="5"/>
      <c r="D17" s="6"/>
      <c r="E17" s="6"/>
      <c r="F17" s="25"/>
      <c r="G17" s="25"/>
    </row>
    <row r="18" spans="1:7" x14ac:dyDescent="0.25">
      <c r="A18" s="4">
        <v>15</v>
      </c>
      <c r="B18" s="5"/>
      <c r="C18" s="5"/>
      <c r="D18" s="6"/>
      <c r="E18" s="6"/>
      <c r="F18" s="25"/>
      <c r="G18" s="25"/>
    </row>
    <row r="19" spans="1:7" x14ac:dyDescent="0.25">
      <c r="A19" s="4">
        <v>16</v>
      </c>
      <c r="B19" s="5"/>
      <c r="C19" s="5"/>
      <c r="D19" s="6"/>
      <c r="E19" s="6"/>
      <c r="F19" s="25"/>
      <c r="G19" s="25"/>
    </row>
    <row r="20" spans="1:7" x14ac:dyDescent="0.25">
      <c r="A20" s="4">
        <v>17</v>
      </c>
      <c r="B20" s="5"/>
      <c r="C20" s="5"/>
      <c r="D20" s="6"/>
      <c r="E20" s="6"/>
      <c r="F20" s="25"/>
      <c r="G20" s="25"/>
    </row>
    <row r="21" spans="1:7" x14ac:dyDescent="0.25">
      <c r="A21" s="4">
        <v>18</v>
      </c>
      <c r="B21" s="5"/>
      <c r="C21" s="5"/>
      <c r="D21" s="6"/>
      <c r="E21" s="6"/>
      <c r="F21" s="25"/>
      <c r="G21" s="25"/>
    </row>
    <row r="22" spans="1:7" x14ac:dyDescent="0.25">
      <c r="A22" s="4">
        <v>19</v>
      </c>
      <c r="B22" s="5"/>
      <c r="C22" s="5"/>
      <c r="D22" s="6"/>
      <c r="E22" s="6"/>
      <c r="F22" s="25"/>
      <c r="G22" s="25"/>
    </row>
    <row r="23" spans="1:7" x14ac:dyDescent="0.25">
      <c r="A23" s="4">
        <v>20</v>
      </c>
      <c r="B23" s="5"/>
      <c r="C23" s="5"/>
      <c r="D23" s="6"/>
      <c r="E23" s="6"/>
      <c r="F23" s="25"/>
      <c r="G23" s="25"/>
    </row>
  </sheetData>
  <customSheetViews>
    <customSheetView guid="{79CFC90F-9797-4F95-B835-584B9BD0A801}" showPageBreaks="1" showGridLines="0" view="pageLayout">
      <selection activeCell="B4" sqref="B4"/>
    </customSheetView>
  </customSheetViews>
  <conditionalFormatting sqref="A4:G8 A11:G23 A9 C9:E9 A10:E10 G9:G10">
    <cfRule type="expression" dxfId="22" priority="23">
      <formula>IF($G4="Y", TRUE, FALSE)</formula>
    </cfRule>
  </conditionalFormatting>
  <conditionalFormatting sqref="B9">
    <cfRule type="expression" dxfId="21" priority="2">
      <formula>IF($K9="Y", TRUE, FALSE)</formula>
    </cfRule>
  </conditionalFormatting>
  <conditionalFormatting sqref="F9:F10">
    <cfRule type="expression" dxfId="20" priority="1">
      <formula>IF($K9="Y", TRUE, FALSE)</formula>
    </cfRule>
  </conditionalFormatting>
  <pageMargins left="0.25" right="0.25" top="1" bottom="0.75" header="0.3" footer="0.3"/>
  <pageSetup orientation="landscape" r:id="rId1"/>
  <headerFooter>
    <oddHeader>&amp;C&amp;"-,Bold"&amp;18Decision Log</oddHeader>
  </headerFooter>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Links!$E$2:$E$4</xm:f>
          </x14:formula1>
          <xm:sqref>G4:G23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23"/>
  <sheetViews>
    <sheetView showGridLines="0" view="pageLayout" zoomScaleNormal="100" workbookViewId="0">
      <selection activeCell="D26" sqref="D26"/>
    </sheetView>
  </sheetViews>
  <sheetFormatPr defaultRowHeight="15" x14ac:dyDescent="0.25"/>
  <cols>
    <col min="1" max="1" width="2.85546875" bestFit="1" customWidth="1"/>
    <col min="2" max="2" width="41.140625" customWidth="1"/>
    <col min="3" max="3" width="10.42578125" customWidth="1"/>
    <col min="4" max="4" width="14.140625" customWidth="1"/>
    <col min="5" max="5" width="34.28515625" style="14" customWidth="1"/>
    <col min="6" max="6" width="10.5703125" style="14" customWidth="1"/>
    <col min="7" max="7" width="11.28515625" style="14" customWidth="1"/>
    <col min="8" max="8" width="6.7109375" bestFit="1" customWidth="1"/>
  </cols>
  <sheetData>
    <row r="1" spans="1:8" ht="4.5" customHeight="1" x14ac:dyDescent="0.25">
      <c r="A1" s="19"/>
      <c r="B1" s="20"/>
      <c r="C1" s="20"/>
      <c r="D1" s="20"/>
      <c r="E1" s="20"/>
      <c r="F1" s="20"/>
      <c r="G1" s="20"/>
      <c r="H1" s="21"/>
    </row>
    <row r="2" spans="1:8" ht="59.25" customHeight="1" x14ac:dyDescent="0.25">
      <c r="A2" s="15" t="s">
        <v>69</v>
      </c>
      <c r="B2" s="16" t="s">
        <v>24</v>
      </c>
      <c r="C2" s="18" t="s">
        <v>25</v>
      </c>
      <c r="D2" s="18" t="s">
        <v>26</v>
      </c>
      <c r="E2" s="18" t="s">
        <v>27</v>
      </c>
      <c r="F2" s="18" t="s">
        <v>28</v>
      </c>
      <c r="G2" s="18" t="s">
        <v>29</v>
      </c>
      <c r="H2" s="28" t="s">
        <v>51</v>
      </c>
    </row>
    <row r="3" spans="1:8" ht="4.5" customHeight="1" x14ac:dyDescent="0.25">
      <c r="A3" s="22"/>
      <c r="B3" s="23"/>
      <c r="C3" s="23"/>
      <c r="D3" s="23"/>
      <c r="E3" s="23"/>
      <c r="F3" s="23"/>
      <c r="G3" s="23"/>
      <c r="H3" s="24"/>
    </row>
    <row r="4" spans="1:8" x14ac:dyDescent="0.25">
      <c r="A4" s="4">
        <v>1</v>
      </c>
      <c r="B4" s="5"/>
      <c r="C4" s="6"/>
      <c r="D4" s="5"/>
      <c r="E4" s="6"/>
      <c r="F4" s="6"/>
      <c r="G4" s="6"/>
      <c r="H4" s="6"/>
    </row>
    <row r="5" spans="1:8" x14ac:dyDescent="0.25">
      <c r="A5" s="4">
        <v>2</v>
      </c>
      <c r="B5" s="5"/>
      <c r="C5" s="6"/>
      <c r="D5" s="5"/>
      <c r="E5" s="6"/>
      <c r="F5" s="6"/>
      <c r="G5" s="6"/>
      <c r="H5" s="6"/>
    </row>
    <row r="6" spans="1:8" x14ac:dyDescent="0.25">
      <c r="A6" s="4">
        <v>3</v>
      </c>
      <c r="B6" s="5"/>
      <c r="C6" s="6"/>
      <c r="D6" s="5"/>
      <c r="E6" s="6"/>
      <c r="F6" s="6"/>
      <c r="G6" s="6"/>
      <c r="H6" s="6"/>
    </row>
    <row r="7" spans="1:8" x14ac:dyDescent="0.25">
      <c r="A7" s="4">
        <v>4</v>
      </c>
      <c r="B7" s="5"/>
      <c r="C7" s="6"/>
      <c r="D7" s="5"/>
      <c r="E7" s="6"/>
      <c r="F7" s="6"/>
      <c r="G7" s="6"/>
      <c r="H7" s="6"/>
    </row>
    <row r="8" spans="1:8" x14ac:dyDescent="0.25">
      <c r="A8" s="4">
        <v>5</v>
      </c>
      <c r="B8" s="5"/>
      <c r="C8" s="6"/>
      <c r="D8" s="5"/>
      <c r="E8" s="6"/>
      <c r="F8" s="6"/>
      <c r="G8" s="6"/>
      <c r="H8" s="6"/>
    </row>
    <row r="9" spans="1:8" x14ac:dyDescent="0.25">
      <c r="A9" s="4">
        <v>6</v>
      </c>
      <c r="B9" s="5"/>
      <c r="C9" s="6"/>
      <c r="D9" s="5"/>
      <c r="E9" s="6"/>
      <c r="F9" s="6"/>
      <c r="G9" s="6"/>
      <c r="H9" s="6"/>
    </row>
    <row r="10" spans="1:8" x14ac:dyDescent="0.25">
      <c r="A10" s="4">
        <v>7</v>
      </c>
      <c r="B10" s="5"/>
      <c r="C10" s="6"/>
      <c r="D10" s="5"/>
      <c r="E10" s="6"/>
      <c r="F10" s="6"/>
      <c r="G10" s="6"/>
      <c r="H10" s="6"/>
    </row>
    <row r="11" spans="1:8" x14ac:dyDescent="0.25">
      <c r="A11" s="4">
        <v>8</v>
      </c>
      <c r="B11" s="5"/>
      <c r="C11" s="6"/>
      <c r="D11" s="5"/>
      <c r="E11" s="6"/>
      <c r="F11" s="6"/>
      <c r="G11" s="6"/>
      <c r="H11" s="6"/>
    </row>
    <row r="12" spans="1:8" x14ac:dyDescent="0.25">
      <c r="A12" s="4">
        <v>9</v>
      </c>
      <c r="B12" s="5"/>
      <c r="C12" s="6"/>
      <c r="D12" s="5"/>
      <c r="E12" s="6"/>
      <c r="F12" s="6"/>
      <c r="G12" s="6"/>
      <c r="H12" s="6"/>
    </row>
    <row r="13" spans="1:8" x14ac:dyDescent="0.25">
      <c r="A13" s="4">
        <v>10</v>
      </c>
      <c r="B13" s="5"/>
      <c r="C13" s="6"/>
      <c r="D13" s="5"/>
      <c r="E13" s="6"/>
      <c r="F13" s="6"/>
      <c r="G13" s="6"/>
      <c r="H13" s="6"/>
    </row>
    <row r="14" spans="1:8" x14ac:dyDescent="0.25">
      <c r="A14" s="4">
        <v>11</v>
      </c>
      <c r="B14" s="5"/>
      <c r="C14" s="6"/>
      <c r="D14" s="5"/>
      <c r="E14" s="6"/>
      <c r="F14" s="6"/>
      <c r="G14" s="6"/>
      <c r="H14" s="6"/>
    </row>
    <row r="15" spans="1:8" x14ac:dyDescent="0.25">
      <c r="A15" s="4">
        <v>12</v>
      </c>
      <c r="B15" s="5"/>
      <c r="C15" s="6"/>
      <c r="D15" s="5"/>
      <c r="E15" s="6"/>
      <c r="F15" s="6"/>
      <c r="G15" s="6"/>
      <c r="H15" s="6"/>
    </row>
    <row r="16" spans="1:8" x14ac:dyDescent="0.25">
      <c r="A16" s="4">
        <v>13</v>
      </c>
      <c r="B16" s="5"/>
      <c r="C16" s="6"/>
      <c r="D16" s="5"/>
      <c r="E16" s="6"/>
      <c r="F16" s="6"/>
      <c r="G16" s="6"/>
      <c r="H16" s="6"/>
    </row>
    <row r="17" spans="1:8" x14ac:dyDescent="0.25">
      <c r="A17" s="4">
        <v>14</v>
      </c>
      <c r="B17" s="5"/>
      <c r="C17" s="6"/>
      <c r="D17" s="5"/>
      <c r="E17" s="6"/>
      <c r="F17" s="6"/>
      <c r="G17" s="6"/>
      <c r="H17" s="6"/>
    </row>
    <row r="18" spans="1:8" x14ac:dyDescent="0.25">
      <c r="A18" s="4">
        <v>15</v>
      </c>
      <c r="B18" s="5"/>
      <c r="C18" s="6"/>
      <c r="D18" s="5"/>
      <c r="E18" s="6"/>
      <c r="F18" s="6"/>
      <c r="G18" s="6"/>
      <c r="H18" s="6"/>
    </row>
    <row r="19" spans="1:8" x14ac:dyDescent="0.25">
      <c r="A19" s="4">
        <v>16</v>
      </c>
      <c r="B19" s="5"/>
      <c r="C19" s="6"/>
      <c r="D19" s="5"/>
      <c r="E19" s="6"/>
      <c r="F19" s="6"/>
      <c r="G19" s="6"/>
      <c r="H19" s="6"/>
    </row>
    <row r="20" spans="1:8" x14ac:dyDescent="0.25">
      <c r="A20" s="4">
        <v>17</v>
      </c>
      <c r="B20" s="5"/>
      <c r="C20" s="6"/>
      <c r="D20" s="5"/>
      <c r="E20" s="6"/>
      <c r="F20" s="6"/>
      <c r="G20" s="6"/>
      <c r="H20" s="6"/>
    </row>
    <row r="21" spans="1:8" x14ac:dyDescent="0.25">
      <c r="A21" s="4">
        <v>18</v>
      </c>
      <c r="B21" s="5"/>
      <c r="C21" s="6"/>
      <c r="D21" s="5"/>
      <c r="E21" s="6"/>
      <c r="F21" s="6"/>
      <c r="G21" s="6"/>
      <c r="H21" s="6"/>
    </row>
    <row r="22" spans="1:8" x14ac:dyDescent="0.25">
      <c r="A22" s="4">
        <v>19</v>
      </c>
      <c r="B22" s="5"/>
      <c r="C22" s="6"/>
      <c r="D22" s="5"/>
      <c r="E22" s="6"/>
      <c r="F22" s="6"/>
      <c r="G22" s="6"/>
      <c r="H22" s="6"/>
    </row>
    <row r="23" spans="1:8" x14ac:dyDescent="0.25">
      <c r="A23" s="4">
        <v>20</v>
      </c>
      <c r="B23" s="5"/>
      <c r="C23" s="6"/>
      <c r="D23" s="5"/>
      <c r="E23" s="6"/>
      <c r="F23" s="6"/>
      <c r="G23" s="6"/>
      <c r="H23" s="6"/>
    </row>
  </sheetData>
  <customSheetViews>
    <customSheetView guid="{79CFC90F-9797-4F95-B835-584B9BD0A801}" showPageBreaks="1" showGridLines="0" view="pageLayout">
      <selection activeCell="B4" sqref="B4"/>
    </customSheetView>
  </customSheetViews>
  <conditionalFormatting sqref="A4:H23">
    <cfRule type="expression" dxfId="19" priority="1">
      <formula>IF($H4="X", TRUE, FALSE)</formula>
    </cfRule>
  </conditionalFormatting>
  <pageMargins left="0.25" right="0.25" top="1" bottom="0.75" header="0.3" footer="0.3"/>
  <pageSetup orientation="landscape" r:id="rId1"/>
  <headerFooter>
    <oddHeader>&amp;C&amp;"-,Bold"&amp;18Question Log</oddHeader>
    <oddFooter>&amp;C&amp;G</oddFooter>
  </headerFooter>
  <legacyDrawingHF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Links!$G$2:$G$3</xm:f>
          </x14:formula1>
          <xm:sqref>H4:H23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2"/>
  <sheetViews>
    <sheetView showGridLines="0" view="pageLayout" zoomScaleNormal="100" workbookViewId="0">
      <selection activeCell="A5" sqref="A5"/>
    </sheetView>
  </sheetViews>
  <sheetFormatPr defaultRowHeight="15" x14ac:dyDescent="0.25"/>
  <cols>
    <col min="1" max="1" width="2.85546875" style="36" bestFit="1" customWidth="1"/>
    <col min="2" max="2" width="3.42578125" style="36" customWidth="1"/>
    <col min="3" max="3" width="14.140625" style="36" customWidth="1"/>
    <col min="4" max="4" width="27.42578125" style="42" customWidth="1"/>
    <col min="5" max="5" width="5.42578125" style="36" bestFit="1" customWidth="1"/>
    <col min="6" max="6" width="10.5703125" style="36" customWidth="1"/>
    <col min="7" max="7" width="22.28515625" style="42" customWidth="1"/>
    <col min="8" max="8" width="10.42578125" style="36" customWidth="1"/>
    <col min="9" max="9" width="23.42578125" style="36" customWidth="1"/>
    <col min="10" max="10" width="9.7109375" style="36" bestFit="1" customWidth="1"/>
    <col min="11" max="11" width="3.85546875" style="36" bestFit="1" customWidth="1"/>
    <col min="12" max="16384" width="9.140625" style="36"/>
  </cols>
  <sheetData>
    <row r="1" spans="1:13" ht="4.5" customHeight="1" x14ac:dyDescent="0.25">
      <c r="A1" s="33"/>
      <c r="B1" s="34"/>
      <c r="C1" s="34"/>
      <c r="D1" s="102"/>
      <c r="E1" s="34"/>
      <c r="F1" s="34"/>
      <c r="G1" s="102"/>
      <c r="H1" s="34"/>
      <c r="I1" s="34"/>
      <c r="J1" s="34"/>
      <c r="K1" s="35"/>
    </row>
    <row r="2" spans="1:13" ht="51.75" customHeight="1" x14ac:dyDescent="0.25">
      <c r="A2" s="54" t="s">
        <v>70</v>
      </c>
      <c r="B2" s="37"/>
      <c r="C2" s="38" t="s">
        <v>12</v>
      </c>
      <c r="D2" s="38" t="s">
        <v>8</v>
      </c>
      <c r="E2" s="39" t="s">
        <v>13</v>
      </c>
      <c r="F2" s="40" t="s">
        <v>14</v>
      </c>
      <c r="G2" s="40" t="s">
        <v>15</v>
      </c>
      <c r="H2" s="40" t="s">
        <v>16</v>
      </c>
      <c r="I2" s="40" t="s">
        <v>17</v>
      </c>
      <c r="J2" s="40" t="s">
        <v>18</v>
      </c>
      <c r="K2" s="41" t="s">
        <v>30</v>
      </c>
      <c r="L2" s="42"/>
      <c r="M2" s="42"/>
    </row>
    <row r="3" spans="1:13" ht="4.5" customHeight="1" x14ac:dyDescent="0.25">
      <c r="A3" s="43"/>
      <c r="B3" s="44"/>
      <c r="C3" s="44"/>
      <c r="D3" s="44"/>
      <c r="E3" s="44"/>
      <c r="F3" s="44"/>
      <c r="G3" s="44"/>
      <c r="H3" s="44"/>
      <c r="I3" s="44"/>
      <c r="J3" s="44"/>
      <c r="K3" s="45"/>
    </row>
    <row r="4" spans="1:13" x14ac:dyDescent="0.25">
      <c r="A4" s="46">
        <v>1</v>
      </c>
      <c r="B4" s="50" t="str">
        <f>IF(E4="High", "H",IF(E4="Alert", "A",IF(E4="Low","L"," ")))</f>
        <v>A</v>
      </c>
      <c r="C4" s="48"/>
      <c r="D4" s="48"/>
      <c r="E4" s="49" t="s">
        <v>20</v>
      </c>
      <c r="F4" s="49"/>
      <c r="G4" s="48"/>
      <c r="H4" s="76"/>
      <c r="I4" s="49"/>
      <c r="J4" s="76"/>
      <c r="K4" s="47" t="s">
        <v>23</v>
      </c>
    </row>
    <row r="5" spans="1:13" x14ac:dyDescent="0.25">
      <c r="A5" s="46">
        <v>2</v>
      </c>
      <c r="B5" s="50" t="str">
        <f t="shared" ref="B5:B22" si="0">IF(E5="High", "H",IF(E5="Alert", "A",IF(E5="Low","L"," ")))</f>
        <v>A</v>
      </c>
      <c r="C5" s="48"/>
      <c r="D5" s="48"/>
      <c r="E5" s="49" t="s">
        <v>20</v>
      </c>
      <c r="F5" s="49"/>
      <c r="G5" s="48"/>
      <c r="H5" s="76"/>
      <c r="I5" s="49"/>
      <c r="J5" s="49"/>
      <c r="K5" s="47" t="s">
        <v>23</v>
      </c>
    </row>
    <row r="6" spans="1:13" x14ac:dyDescent="0.25">
      <c r="A6" s="46">
        <v>3</v>
      </c>
      <c r="B6" s="50" t="str">
        <f t="shared" si="0"/>
        <v>H</v>
      </c>
      <c r="C6" s="48"/>
      <c r="D6" s="48"/>
      <c r="E6" s="49" t="s">
        <v>19</v>
      </c>
      <c r="F6" s="49"/>
      <c r="G6" s="48"/>
      <c r="H6" s="76"/>
      <c r="I6" s="49"/>
      <c r="J6" s="76"/>
      <c r="K6" s="47" t="s">
        <v>7</v>
      </c>
    </row>
    <row r="7" spans="1:13" x14ac:dyDescent="0.25">
      <c r="A7" s="46">
        <v>4</v>
      </c>
      <c r="B7" s="50" t="str">
        <f>IF(E7="High", "H",IF(E7="Alert", "A",IF(E7="Low","L"," ")))</f>
        <v>H</v>
      </c>
      <c r="C7" s="48"/>
      <c r="D7" s="48"/>
      <c r="E7" s="49" t="s">
        <v>19</v>
      </c>
      <c r="F7" s="49"/>
      <c r="G7" s="48"/>
      <c r="H7" s="49"/>
      <c r="I7" s="48"/>
      <c r="J7" s="76"/>
      <c r="K7" s="47" t="s">
        <v>138</v>
      </c>
    </row>
    <row r="8" spans="1:13" x14ac:dyDescent="0.25">
      <c r="A8" s="46">
        <v>6</v>
      </c>
      <c r="B8" s="50" t="str">
        <f t="shared" si="0"/>
        <v xml:space="preserve"> </v>
      </c>
      <c r="C8" s="48"/>
      <c r="D8" s="48"/>
      <c r="E8" s="49"/>
      <c r="F8" s="49"/>
      <c r="G8" s="48"/>
      <c r="H8" s="49"/>
      <c r="I8" s="48"/>
      <c r="J8" s="49"/>
      <c r="K8" s="47"/>
    </row>
    <row r="9" spans="1:13" x14ac:dyDescent="0.25">
      <c r="A9" s="46">
        <v>7</v>
      </c>
      <c r="B9" s="50" t="str">
        <f t="shared" si="0"/>
        <v xml:space="preserve"> </v>
      </c>
      <c r="C9" s="48"/>
      <c r="D9" s="48"/>
      <c r="E9" s="49"/>
      <c r="F9" s="49"/>
      <c r="G9" s="48"/>
      <c r="H9" s="49"/>
      <c r="I9" s="49"/>
      <c r="J9" s="49"/>
      <c r="K9" s="47"/>
    </row>
    <row r="10" spans="1:13" x14ac:dyDescent="0.25">
      <c r="A10" s="46">
        <v>8</v>
      </c>
      <c r="B10" s="50" t="str">
        <f t="shared" si="0"/>
        <v xml:space="preserve"> </v>
      </c>
      <c r="C10" s="48"/>
      <c r="D10" s="48"/>
      <c r="E10" s="49"/>
      <c r="F10" s="49"/>
      <c r="G10" s="48"/>
      <c r="H10" s="49"/>
      <c r="I10" s="49"/>
      <c r="J10" s="49"/>
      <c r="K10" s="47"/>
    </row>
    <row r="11" spans="1:13" x14ac:dyDescent="0.25">
      <c r="A11" s="46">
        <v>9</v>
      </c>
      <c r="B11" s="50" t="str">
        <f t="shared" si="0"/>
        <v xml:space="preserve"> </v>
      </c>
      <c r="C11" s="48"/>
      <c r="D11" s="48"/>
      <c r="E11" s="49"/>
      <c r="F11" s="49"/>
      <c r="G11" s="48"/>
      <c r="H11" s="49"/>
      <c r="I11" s="49"/>
      <c r="J11" s="49"/>
      <c r="K11" s="47"/>
    </row>
    <row r="12" spans="1:13" x14ac:dyDescent="0.25">
      <c r="A12" s="46">
        <v>10</v>
      </c>
      <c r="B12" s="50" t="str">
        <f t="shared" si="0"/>
        <v xml:space="preserve"> </v>
      </c>
      <c r="C12" s="48"/>
      <c r="D12" s="48"/>
      <c r="E12" s="49"/>
      <c r="F12" s="49"/>
      <c r="G12" s="48"/>
      <c r="H12" s="49"/>
      <c r="I12" s="49"/>
      <c r="J12" s="49"/>
      <c r="K12" s="47"/>
    </row>
    <row r="13" spans="1:13" x14ac:dyDescent="0.25">
      <c r="A13" s="46">
        <v>11</v>
      </c>
      <c r="B13" s="50" t="str">
        <f t="shared" si="0"/>
        <v xml:space="preserve"> </v>
      </c>
      <c r="C13" s="48"/>
      <c r="D13" s="48"/>
      <c r="E13" s="49"/>
      <c r="F13" s="49"/>
      <c r="G13" s="48"/>
      <c r="H13" s="49"/>
      <c r="I13" s="49"/>
      <c r="J13" s="49"/>
      <c r="K13" s="47"/>
    </row>
    <row r="14" spans="1:13" x14ac:dyDescent="0.25">
      <c r="A14" s="46">
        <v>12</v>
      </c>
      <c r="B14" s="50" t="str">
        <f t="shared" si="0"/>
        <v xml:space="preserve"> </v>
      </c>
      <c r="C14" s="48"/>
      <c r="D14" s="48"/>
      <c r="E14" s="49"/>
      <c r="F14" s="49"/>
      <c r="G14" s="48"/>
      <c r="H14" s="49"/>
      <c r="I14" s="49"/>
      <c r="J14" s="49"/>
      <c r="K14" s="47"/>
    </row>
    <row r="15" spans="1:13" x14ac:dyDescent="0.25">
      <c r="A15" s="46">
        <v>13</v>
      </c>
      <c r="B15" s="50" t="str">
        <f t="shared" si="0"/>
        <v xml:space="preserve"> </v>
      </c>
      <c r="C15" s="48"/>
      <c r="D15" s="48"/>
      <c r="E15" s="49"/>
      <c r="F15" s="49"/>
      <c r="G15" s="48"/>
      <c r="H15" s="49"/>
      <c r="I15" s="49"/>
      <c r="J15" s="49"/>
      <c r="K15" s="47"/>
    </row>
    <row r="16" spans="1:13" x14ac:dyDescent="0.25">
      <c r="A16" s="46">
        <v>14</v>
      </c>
      <c r="B16" s="50" t="str">
        <f t="shared" si="0"/>
        <v xml:space="preserve"> </v>
      </c>
      <c r="C16" s="48"/>
      <c r="D16" s="48"/>
      <c r="E16" s="49"/>
      <c r="F16" s="49"/>
      <c r="G16" s="48"/>
      <c r="H16" s="49"/>
      <c r="I16" s="49"/>
      <c r="J16" s="49"/>
      <c r="K16" s="47"/>
    </row>
    <row r="17" spans="1:11" x14ac:dyDescent="0.25">
      <c r="A17" s="46">
        <v>15</v>
      </c>
      <c r="B17" s="50" t="str">
        <f t="shared" si="0"/>
        <v xml:space="preserve"> </v>
      </c>
      <c r="C17" s="48"/>
      <c r="D17" s="48"/>
      <c r="E17" s="49"/>
      <c r="F17" s="49"/>
      <c r="G17" s="48"/>
      <c r="H17" s="49"/>
      <c r="I17" s="49"/>
      <c r="J17" s="49"/>
      <c r="K17" s="47"/>
    </row>
    <row r="18" spans="1:11" x14ac:dyDescent="0.25">
      <c r="A18" s="46">
        <v>16</v>
      </c>
      <c r="B18" s="50" t="str">
        <f t="shared" si="0"/>
        <v xml:space="preserve"> </v>
      </c>
      <c r="C18" s="48"/>
      <c r="D18" s="48"/>
      <c r="E18" s="49"/>
      <c r="F18" s="49"/>
      <c r="G18" s="48"/>
      <c r="H18" s="49"/>
      <c r="I18" s="49"/>
      <c r="J18" s="49"/>
      <c r="K18" s="47"/>
    </row>
    <row r="19" spans="1:11" x14ac:dyDescent="0.25">
      <c r="A19" s="46">
        <v>17</v>
      </c>
      <c r="B19" s="50" t="str">
        <f t="shared" si="0"/>
        <v xml:space="preserve"> </v>
      </c>
      <c r="C19" s="48"/>
      <c r="D19" s="48"/>
      <c r="E19" s="49"/>
      <c r="F19" s="49"/>
      <c r="G19" s="48"/>
      <c r="H19" s="49"/>
      <c r="I19" s="49"/>
      <c r="J19" s="49"/>
      <c r="K19" s="47"/>
    </row>
    <row r="20" spans="1:11" x14ac:dyDescent="0.25">
      <c r="A20" s="46">
        <v>18</v>
      </c>
      <c r="B20" s="50" t="str">
        <f t="shared" si="0"/>
        <v xml:space="preserve"> </v>
      </c>
      <c r="C20" s="48"/>
      <c r="D20" s="48"/>
      <c r="E20" s="49"/>
      <c r="F20" s="49"/>
      <c r="G20" s="48"/>
      <c r="H20" s="49"/>
      <c r="I20" s="49"/>
      <c r="J20" s="49"/>
      <c r="K20" s="47"/>
    </row>
    <row r="21" spans="1:11" x14ac:dyDescent="0.25">
      <c r="A21" s="46">
        <v>19</v>
      </c>
      <c r="B21" s="50" t="str">
        <f t="shared" si="0"/>
        <v xml:space="preserve"> </v>
      </c>
      <c r="C21" s="48"/>
      <c r="D21" s="48"/>
      <c r="E21" s="49"/>
      <c r="F21" s="49"/>
      <c r="G21" s="48"/>
      <c r="H21" s="49"/>
      <c r="I21" s="49"/>
      <c r="J21" s="49"/>
      <c r="K21" s="47"/>
    </row>
    <row r="22" spans="1:11" x14ac:dyDescent="0.25">
      <c r="A22" s="46">
        <v>20</v>
      </c>
      <c r="B22" s="50" t="str">
        <f t="shared" si="0"/>
        <v xml:space="preserve"> </v>
      </c>
      <c r="C22" s="48"/>
      <c r="D22" s="48"/>
      <c r="E22" s="49"/>
      <c r="F22" s="49"/>
      <c r="G22" s="48"/>
      <c r="H22" s="49"/>
      <c r="I22" s="49"/>
      <c r="J22" s="49"/>
      <c r="K22" s="47"/>
    </row>
  </sheetData>
  <sheetProtection selectLockedCells="1"/>
  <customSheetViews>
    <customSheetView guid="{79CFC90F-9797-4F95-B835-584B9BD0A801}" showPageBreaks="1" showGridLines="0" view="pageLayout">
      <selection activeCell="E4" sqref="E4"/>
    </customSheetView>
  </customSheetViews>
  <conditionalFormatting sqref="A4:B22">
    <cfRule type="expression" dxfId="18" priority="6">
      <formula>IF($B4="L", TRUE, FALSE)</formula>
    </cfRule>
    <cfRule type="expression" dxfId="17" priority="7">
      <formula>IF($B4="A", TRUE, FALSE)</formula>
    </cfRule>
    <cfRule type="expression" dxfId="16" priority="8">
      <formula>IF($B4="H", TRUE, FALSE)</formula>
    </cfRule>
  </conditionalFormatting>
  <conditionalFormatting sqref="A4:K22">
    <cfRule type="expression" dxfId="15" priority="5">
      <formula>IF($K4="Y", TRUE, FALSE)</formula>
    </cfRule>
  </conditionalFormatting>
  <dataValidations count="1">
    <dataValidation allowBlank="1" showInputMessage="1" showErrorMessage="1" promptTitle="Risk Alert" prompt="This cell will auto-populate based on the Priority that was selected" sqref="B2"/>
  </dataValidations>
  <pageMargins left="0.25" right="0.25" top="1" bottom="0.75" header="0.3" footer="0.3"/>
  <pageSetup orientation="landscape" r:id="rId1"/>
  <headerFooter>
    <oddHeader>&amp;C&amp;"-,Bold"&amp;18Risk Log</oddHead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Links!$A$2:$A$5</xm:f>
          </x14:formula1>
          <xm:sqref>E4:E22</xm:sqref>
        </x14:dataValidation>
        <x14:dataValidation type="list" allowBlank="1" showInputMessage="1" showErrorMessage="1">
          <x14:formula1>
            <xm:f>Links!$E$2:$E$4</xm:f>
          </x14:formula1>
          <xm:sqref>K4:K22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A23"/>
  <sheetViews>
    <sheetView showGridLines="0" view="pageLayout" zoomScaleNormal="100" workbookViewId="0">
      <selection activeCell="B4" sqref="B4"/>
    </sheetView>
  </sheetViews>
  <sheetFormatPr defaultRowHeight="15" x14ac:dyDescent="0.25"/>
  <cols>
    <col min="1" max="1" width="2.85546875" bestFit="1" customWidth="1"/>
    <col min="2" max="2" width="24.140625" customWidth="1"/>
    <col min="3" max="3" width="13.7109375" customWidth="1"/>
    <col min="4" max="5" width="14.85546875" customWidth="1"/>
    <col min="6" max="6" width="13.7109375" customWidth="1"/>
    <col min="7" max="7" width="14.42578125" customWidth="1"/>
    <col min="8" max="8" width="15.42578125" bestFit="1" customWidth="1"/>
    <col min="9" max="9" width="19.28515625" customWidth="1"/>
  </cols>
  <sheetData>
    <row r="1" spans="1:27" ht="4.5" customHeight="1" x14ac:dyDescent="0.25">
      <c r="A1" s="19"/>
      <c r="B1" s="20"/>
      <c r="C1" s="20"/>
      <c r="D1" s="20"/>
      <c r="E1" s="20"/>
      <c r="F1" s="20"/>
      <c r="G1" s="20"/>
      <c r="H1" s="20"/>
      <c r="I1" s="21"/>
    </row>
    <row r="2" spans="1:27" ht="51.75" customHeight="1" x14ac:dyDescent="0.25">
      <c r="A2" s="53" t="s">
        <v>0</v>
      </c>
      <c r="B2" s="16" t="s">
        <v>32</v>
      </c>
      <c r="C2" s="16" t="s">
        <v>33</v>
      </c>
      <c r="D2" s="18" t="s">
        <v>34</v>
      </c>
      <c r="E2" s="18" t="s">
        <v>35</v>
      </c>
      <c r="F2" s="18" t="s">
        <v>36</v>
      </c>
      <c r="G2" s="18" t="s">
        <v>37</v>
      </c>
      <c r="H2" s="18" t="s">
        <v>17</v>
      </c>
      <c r="I2" s="17" t="s">
        <v>6</v>
      </c>
      <c r="J2" s="2"/>
      <c r="K2" s="2"/>
    </row>
    <row r="3" spans="1:27" ht="4.5" customHeight="1" x14ac:dyDescent="0.25">
      <c r="A3" s="22"/>
      <c r="B3" s="23"/>
      <c r="C3" s="23"/>
      <c r="D3" s="23"/>
      <c r="E3" s="23"/>
      <c r="F3" s="23"/>
      <c r="G3" s="23"/>
      <c r="H3" s="23"/>
      <c r="I3" s="24"/>
    </row>
    <row r="4" spans="1:27" x14ac:dyDescent="0.25">
      <c r="A4" s="29">
        <v>1</v>
      </c>
      <c r="B4" s="5"/>
      <c r="C4" s="4"/>
      <c r="D4" s="4"/>
      <c r="E4" s="4"/>
      <c r="F4" s="4"/>
      <c r="G4" s="4"/>
      <c r="H4" s="4"/>
      <c r="I4" s="6"/>
      <c r="AA4" t="s">
        <v>17</v>
      </c>
    </row>
    <row r="5" spans="1:27" x14ac:dyDescent="0.25">
      <c r="A5" s="29">
        <v>2</v>
      </c>
      <c r="B5" s="5"/>
      <c r="C5" s="4"/>
      <c r="D5" s="4"/>
      <c r="E5" s="4"/>
      <c r="F5" s="4"/>
      <c r="G5" s="4"/>
      <c r="H5" s="4"/>
      <c r="I5" s="6"/>
      <c r="AA5" t="s">
        <v>39</v>
      </c>
    </row>
    <row r="6" spans="1:27" x14ac:dyDescent="0.25">
      <c r="A6" s="29">
        <v>3</v>
      </c>
      <c r="B6" s="5"/>
      <c r="C6" s="4"/>
      <c r="D6" s="4"/>
      <c r="E6" s="4"/>
      <c r="F6" s="4"/>
      <c r="G6" s="4"/>
      <c r="H6" s="4"/>
      <c r="I6" s="6"/>
      <c r="AA6" t="s">
        <v>40</v>
      </c>
    </row>
    <row r="7" spans="1:27" x14ac:dyDescent="0.25">
      <c r="A7" s="29">
        <v>4</v>
      </c>
      <c r="B7" s="5"/>
      <c r="C7" s="4"/>
      <c r="D7" s="4"/>
      <c r="E7" s="4"/>
      <c r="F7" s="4"/>
      <c r="G7" s="4"/>
      <c r="H7" s="4"/>
      <c r="I7" s="6"/>
      <c r="AA7" t="s">
        <v>41</v>
      </c>
    </row>
    <row r="8" spans="1:27" x14ac:dyDescent="0.25">
      <c r="A8" s="29">
        <v>5</v>
      </c>
      <c r="B8" s="5"/>
      <c r="C8" s="4"/>
      <c r="D8" s="4"/>
      <c r="E8" s="4"/>
      <c r="F8" s="4"/>
      <c r="G8" s="4"/>
      <c r="H8" s="4"/>
      <c r="I8" s="6"/>
    </row>
    <row r="9" spans="1:27" x14ac:dyDescent="0.25">
      <c r="A9" s="29">
        <v>6</v>
      </c>
      <c r="B9" s="5"/>
      <c r="C9" s="4"/>
      <c r="D9" s="4"/>
      <c r="E9" s="4"/>
      <c r="F9" s="4"/>
      <c r="G9" s="4"/>
      <c r="H9" s="4"/>
      <c r="I9" s="6"/>
    </row>
    <row r="10" spans="1:27" x14ac:dyDescent="0.25">
      <c r="A10" s="29">
        <v>7</v>
      </c>
      <c r="B10" s="5"/>
      <c r="C10" s="4"/>
      <c r="D10" s="4"/>
      <c r="E10" s="4"/>
      <c r="F10" s="4"/>
      <c r="G10" s="4"/>
      <c r="H10" s="4"/>
      <c r="I10" s="6"/>
    </row>
    <row r="11" spans="1:27" x14ac:dyDescent="0.25">
      <c r="A11" s="29">
        <v>8</v>
      </c>
      <c r="B11" s="5"/>
      <c r="C11" s="4"/>
      <c r="D11" s="4"/>
      <c r="E11" s="4"/>
      <c r="F11" s="4"/>
      <c r="G11" s="4"/>
      <c r="H11" s="4"/>
      <c r="I11" s="6"/>
    </row>
    <row r="12" spans="1:27" x14ac:dyDescent="0.25">
      <c r="A12" s="29">
        <v>9</v>
      </c>
      <c r="B12" s="5"/>
      <c r="C12" s="4"/>
      <c r="D12" s="4"/>
      <c r="E12" s="4"/>
      <c r="F12" s="4"/>
      <c r="G12" s="4"/>
      <c r="H12" s="4"/>
      <c r="I12" s="6"/>
    </row>
    <row r="13" spans="1:27" x14ac:dyDescent="0.25">
      <c r="A13" s="29">
        <v>10</v>
      </c>
      <c r="B13" s="5"/>
      <c r="C13" s="4"/>
      <c r="D13" s="4"/>
      <c r="E13" s="4"/>
      <c r="F13" s="4"/>
      <c r="G13" s="4"/>
      <c r="H13" s="4"/>
      <c r="I13" s="6"/>
    </row>
    <row r="14" spans="1:27" x14ac:dyDescent="0.25">
      <c r="A14" s="29">
        <v>11</v>
      </c>
      <c r="B14" s="5"/>
      <c r="C14" s="4"/>
      <c r="D14" s="4"/>
      <c r="E14" s="4"/>
      <c r="F14" s="4"/>
      <c r="G14" s="4"/>
      <c r="H14" s="4"/>
      <c r="I14" s="6"/>
    </row>
    <row r="15" spans="1:27" x14ac:dyDescent="0.25">
      <c r="A15" s="29">
        <v>12</v>
      </c>
      <c r="B15" s="5"/>
      <c r="C15" s="4"/>
      <c r="D15" s="4"/>
      <c r="E15" s="4"/>
      <c r="F15" s="4"/>
      <c r="G15" s="4"/>
      <c r="H15" s="4"/>
      <c r="I15" s="6"/>
    </row>
    <row r="16" spans="1:27" x14ac:dyDescent="0.25">
      <c r="A16" s="29">
        <v>13</v>
      </c>
      <c r="B16" s="5"/>
      <c r="C16" s="4"/>
      <c r="D16" s="4"/>
      <c r="E16" s="4"/>
      <c r="F16" s="4"/>
      <c r="G16" s="4"/>
      <c r="H16" s="4"/>
      <c r="I16" s="6"/>
    </row>
    <row r="17" spans="1:9" x14ac:dyDescent="0.25">
      <c r="A17" s="29">
        <v>14</v>
      </c>
      <c r="B17" s="5"/>
      <c r="C17" s="4"/>
      <c r="D17" s="4"/>
      <c r="E17" s="4"/>
      <c r="F17" s="4"/>
      <c r="G17" s="4"/>
      <c r="H17" s="4"/>
      <c r="I17" s="6"/>
    </row>
    <row r="18" spans="1:9" x14ac:dyDescent="0.25">
      <c r="A18" s="29">
        <v>15</v>
      </c>
      <c r="B18" s="5"/>
      <c r="C18" s="4"/>
      <c r="D18" s="4"/>
      <c r="E18" s="4"/>
      <c r="F18" s="4"/>
      <c r="G18" s="4"/>
      <c r="H18" s="4"/>
      <c r="I18" s="6"/>
    </row>
    <row r="19" spans="1:9" x14ac:dyDescent="0.25">
      <c r="A19" s="29">
        <v>16</v>
      </c>
      <c r="B19" s="5"/>
      <c r="C19" s="4"/>
      <c r="D19" s="4"/>
      <c r="E19" s="4"/>
      <c r="F19" s="4"/>
      <c r="G19" s="4"/>
      <c r="H19" s="4"/>
      <c r="I19" s="6"/>
    </row>
    <row r="20" spans="1:9" x14ac:dyDescent="0.25">
      <c r="A20" s="29">
        <v>17</v>
      </c>
      <c r="B20" s="5"/>
      <c r="C20" s="4"/>
      <c r="D20" s="4"/>
      <c r="E20" s="4"/>
      <c r="F20" s="4"/>
      <c r="G20" s="4"/>
      <c r="H20" s="4"/>
      <c r="I20" s="6"/>
    </row>
    <row r="21" spans="1:9" x14ac:dyDescent="0.25">
      <c r="A21" s="29">
        <v>18</v>
      </c>
      <c r="B21" s="5"/>
      <c r="C21" s="4"/>
      <c r="D21" s="4"/>
      <c r="E21" s="4"/>
      <c r="F21" s="4"/>
      <c r="G21" s="4"/>
      <c r="H21" s="4"/>
      <c r="I21" s="6"/>
    </row>
    <row r="22" spans="1:9" x14ac:dyDescent="0.25">
      <c r="A22" s="29">
        <v>19</v>
      </c>
      <c r="B22" s="5"/>
      <c r="C22" s="4"/>
      <c r="D22" s="4"/>
      <c r="E22" s="4"/>
      <c r="F22" s="4"/>
      <c r="G22" s="4"/>
      <c r="H22" s="4"/>
      <c r="I22" s="6"/>
    </row>
    <row r="23" spans="1:9" x14ac:dyDescent="0.25">
      <c r="A23" s="29">
        <v>20</v>
      </c>
      <c r="B23" s="5"/>
      <c r="C23" s="4"/>
      <c r="D23" s="4"/>
      <c r="E23" s="4"/>
      <c r="F23" s="4"/>
      <c r="G23" s="4"/>
      <c r="H23" s="4"/>
      <c r="I23" s="6"/>
    </row>
  </sheetData>
  <customSheetViews>
    <customSheetView guid="{79CFC90F-9797-4F95-B835-584B9BD0A801}" showPageBreaks="1" showGridLines="0" view="pageLayout">
      <selection activeCell="B4" sqref="B4"/>
    </customSheetView>
  </customSheetViews>
  <dataValidations disablePrompts="1" count="1">
    <dataValidation type="list" allowBlank="1" showInputMessage="1" showErrorMessage="1" sqref="H4:H23">
      <formula1>"Complete, In Development, Pending, "</formula1>
    </dataValidation>
  </dataValidations>
  <pageMargins left="0.25" right="0.25" top="1" bottom="0.75" header="0.3" footer="0.3"/>
  <pageSetup orientation="landscape" r:id="rId1"/>
  <headerFooter>
    <oddHeader>&amp;C&amp;"-,Bold"&amp;18Storyboard Schedule</oddHeader>
    <oddFooter>&amp;C&amp;G</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23"/>
  <sheetViews>
    <sheetView showGridLines="0" view="pageLayout" zoomScaleNormal="100" workbookViewId="0">
      <selection activeCell="B7" sqref="B7"/>
    </sheetView>
  </sheetViews>
  <sheetFormatPr defaultRowHeight="15" x14ac:dyDescent="0.25"/>
  <cols>
    <col min="1" max="1" width="2.85546875" bestFit="1" customWidth="1"/>
    <col min="2" max="2" width="24.140625" customWidth="1"/>
    <col min="3" max="3" width="13.7109375" customWidth="1"/>
    <col min="4" max="5" width="14.85546875" customWidth="1"/>
    <col min="6" max="7" width="4.85546875" customWidth="1"/>
    <col min="8" max="8" width="15.42578125" bestFit="1" customWidth="1"/>
    <col min="9" max="9" width="19.28515625" customWidth="1"/>
  </cols>
  <sheetData>
    <row r="1" spans="1:11" ht="4.5" customHeight="1" x14ac:dyDescent="0.25">
      <c r="A1" s="19"/>
      <c r="B1" s="20"/>
      <c r="C1" s="20"/>
      <c r="D1" s="20"/>
      <c r="E1" s="20"/>
      <c r="F1" s="20"/>
      <c r="G1" s="20"/>
      <c r="H1" s="20"/>
      <c r="I1" s="21"/>
    </row>
    <row r="2" spans="1:11" ht="51.75" customHeight="1" x14ac:dyDescent="0.25">
      <c r="A2" s="15" t="s">
        <v>69</v>
      </c>
      <c r="B2" s="16" t="s">
        <v>42</v>
      </c>
      <c r="C2" s="16" t="s">
        <v>33</v>
      </c>
      <c r="D2" s="18" t="s">
        <v>34</v>
      </c>
      <c r="E2" s="18" t="s">
        <v>35</v>
      </c>
      <c r="F2" s="30" t="s">
        <v>121</v>
      </c>
      <c r="G2" s="30" t="s">
        <v>122</v>
      </c>
      <c r="H2" s="18" t="s">
        <v>17</v>
      </c>
      <c r="I2" s="17" t="s">
        <v>6</v>
      </c>
      <c r="J2" s="2"/>
      <c r="K2" s="2"/>
    </row>
    <row r="3" spans="1:11" ht="4.5" customHeight="1" x14ac:dyDescent="0.25">
      <c r="A3" s="22"/>
      <c r="B3" s="23"/>
      <c r="C3" s="23"/>
      <c r="D3" s="23"/>
      <c r="E3" s="23"/>
      <c r="F3" s="23"/>
      <c r="G3" s="23"/>
      <c r="H3" s="23"/>
      <c r="I3" s="24"/>
    </row>
    <row r="4" spans="1:11" x14ac:dyDescent="0.25">
      <c r="A4" s="29">
        <v>1</v>
      </c>
      <c r="B4" s="5"/>
      <c r="C4" s="4"/>
      <c r="D4" s="4"/>
      <c r="E4" s="4"/>
      <c r="F4" s="6"/>
      <c r="G4" s="6"/>
      <c r="H4" s="4"/>
      <c r="I4" s="6"/>
    </row>
    <row r="5" spans="1:11" x14ac:dyDescent="0.25">
      <c r="A5" s="29">
        <v>2</v>
      </c>
      <c r="B5" s="5"/>
      <c r="C5" s="4"/>
      <c r="D5" s="4"/>
      <c r="E5" s="4"/>
      <c r="F5" s="6"/>
      <c r="G5" s="6"/>
      <c r="H5" s="4"/>
      <c r="I5" s="6"/>
    </row>
    <row r="6" spans="1:11" x14ac:dyDescent="0.25">
      <c r="A6" s="29">
        <v>3</v>
      </c>
      <c r="B6" s="5"/>
      <c r="C6" s="4"/>
      <c r="D6" s="4"/>
      <c r="E6" s="4"/>
      <c r="F6" s="6"/>
      <c r="G6" s="6"/>
      <c r="H6" s="4"/>
      <c r="I6" s="6"/>
    </row>
    <row r="7" spans="1:11" x14ac:dyDescent="0.25">
      <c r="A7" s="29">
        <v>4</v>
      </c>
      <c r="B7" s="5"/>
      <c r="C7" s="4"/>
      <c r="D7" s="4"/>
      <c r="E7" s="4"/>
      <c r="F7" s="6"/>
      <c r="G7" s="6"/>
      <c r="H7" s="4"/>
      <c r="I7" s="6"/>
    </row>
    <row r="8" spans="1:11" x14ac:dyDescent="0.25">
      <c r="A8" s="29">
        <v>5</v>
      </c>
      <c r="B8" s="5"/>
      <c r="C8" s="4"/>
      <c r="D8" s="4"/>
      <c r="E8" s="4"/>
      <c r="F8" s="6"/>
      <c r="G8" s="6"/>
      <c r="H8" s="4"/>
      <c r="I8" s="6"/>
    </row>
    <row r="9" spans="1:11" x14ac:dyDescent="0.25">
      <c r="A9" s="29">
        <v>6</v>
      </c>
      <c r="B9" s="5"/>
      <c r="C9" s="4"/>
      <c r="D9" s="4"/>
      <c r="E9" s="4"/>
      <c r="F9" s="6"/>
      <c r="G9" s="6"/>
      <c r="H9" s="4"/>
      <c r="I9" s="6"/>
    </row>
    <row r="10" spans="1:11" x14ac:dyDescent="0.25">
      <c r="A10" s="29">
        <v>7</v>
      </c>
      <c r="B10" s="5"/>
      <c r="C10" s="4"/>
      <c r="D10" s="4"/>
      <c r="E10" s="4"/>
      <c r="F10" s="6"/>
      <c r="G10" s="6"/>
      <c r="H10" s="4"/>
      <c r="I10" s="6"/>
    </row>
    <row r="11" spans="1:11" x14ac:dyDescent="0.25">
      <c r="A11" s="29">
        <v>8</v>
      </c>
      <c r="B11" s="5"/>
      <c r="C11" s="4"/>
      <c r="D11" s="4"/>
      <c r="E11" s="4"/>
      <c r="F11" s="6"/>
      <c r="G11" s="6"/>
      <c r="H11" s="4"/>
      <c r="I11" s="6"/>
    </row>
    <row r="12" spans="1:11" x14ac:dyDescent="0.25">
      <c r="A12" s="29">
        <v>9</v>
      </c>
      <c r="B12" s="5"/>
      <c r="C12" s="4"/>
      <c r="D12" s="4"/>
      <c r="E12" s="4"/>
      <c r="F12" s="6"/>
      <c r="G12" s="6"/>
      <c r="H12" s="4"/>
      <c r="I12" s="6"/>
    </row>
    <row r="13" spans="1:11" x14ac:dyDescent="0.25">
      <c r="A13" s="29">
        <v>10</v>
      </c>
      <c r="B13" s="5"/>
      <c r="C13" s="4"/>
      <c r="D13" s="4"/>
      <c r="E13" s="4"/>
      <c r="F13" s="6"/>
      <c r="G13" s="6"/>
      <c r="H13" s="4"/>
      <c r="I13" s="6"/>
    </row>
    <row r="14" spans="1:11" x14ac:dyDescent="0.25">
      <c r="A14" s="29">
        <v>11</v>
      </c>
      <c r="B14" s="5"/>
      <c r="C14" s="4"/>
      <c r="D14" s="4"/>
      <c r="E14" s="4"/>
      <c r="F14" s="6"/>
      <c r="G14" s="6"/>
      <c r="H14" s="4"/>
      <c r="I14" s="6"/>
    </row>
    <row r="15" spans="1:11" x14ac:dyDescent="0.25">
      <c r="A15" s="29">
        <v>12</v>
      </c>
      <c r="B15" s="5"/>
      <c r="C15" s="4"/>
      <c r="D15" s="4"/>
      <c r="E15" s="4"/>
      <c r="F15" s="6"/>
      <c r="G15" s="6"/>
      <c r="H15" s="4"/>
      <c r="I15" s="6"/>
    </row>
    <row r="16" spans="1:11" x14ac:dyDescent="0.25">
      <c r="A16" s="29">
        <v>13</v>
      </c>
      <c r="B16" s="5"/>
      <c r="C16" s="4"/>
      <c r="D16" s="4"/>
      <c r="E16" s="4"/>
      <c r="F16" s="6"/>
      <c r="G16" s="6"/>
      <c r="H16" s="4"/>
      <c r="I16" s="6"/>
    </row>
    <row r="17" spans="1:9" x14ac:dyDescent="0.25">
      <c r="A17" s="29">
        <v>14</v>
      </c>
      <c r="B17" s="5"/>
      <c r="C17" s="4"/>
      <c r="D17" s="4"/>
      <c r="E17" s="4"/>
      <c r="F17" s="6"/>
      <c r="G17" s="6"/>
      <c r="H17" s="4"/>
      <c r="I17" s="6"/>
    </row>
    <row r="18" spans="1:9" x14ac:dyDescent="0.25">
      <c r="A18" s="29">
        <v>15</v>
      </c>
      <c r="B18" s="5"/>
      <c r="C18" s="4"/>
      <c r="D18" s="4"/>
      <c r="E18" s="4"/>
      <c r="F18" s="6"/>
      <c r="G18" s="6"/>
      <c r="H18" s="4"/>
      <c r="I18" s="6"/>
    </row>
    <row r="19" spans="1:9" x14ac:dyDescent="0.25">
      <c r="A19" s="29">
        <v>16</v>
      </c>
      <c r="B19" s="5"/>
      <c r="C19" s="4"/>
      <c r="D19" s="4"/>
      <c r="E19" s="4"/>
      <c r="F19" s="6"/>
      <c r="G19" s="6"/>
      <c r="H19" s="4"/>
      <c r="I19" s="6"/>
    </row>
    <row r="20" spans="1:9" x14ac:dyDescent="0.25">
      <c r="A20" s="29">
        <v>17</v>
      </c>
      <c r="B20" s="5"/>
      <c r="C20" s="4"/>
      <c r="D20" s="4"/>
      <c r="E20" s="4"/>
      <c r="F20" s="6"/>
      <c r="G20" s="6"/>
      <c r="H20" s="4"/>
      <c r="I20" s="6"/>
    </row>
    <row r="21" spans="1:9" x14ac:dyDescent="0.25">
      <c r="A21" s="29">
        <v>18</v>
      </c>
      <c r="B21" s="5"/>
      <c r="C21" s="4"/>
      <c r="D21" s="4"/>
      <c r="E21" s="4"/>
      <c r="F21" s="6"/>
      <c r="G21" s="6"/>
      <c r="H21" s="4"/>
      <c r="I21" s="6"/>
    </row>
    <row r="22" spans="1:9" x14ac:dyDescent="0.25">
      <c r="A22" s="29">
        <v>19</v>
      </c>
      <c r="B22" s="5"/>
      <c r="C22" s="4"/>
      <c r="D22" s="4"/>
      <c r="E22" s="4"/>
      <c r="F22" s="6"/>
      <c r="G22" s="6"/>
      <c r="H22" s="4"/>
      <c r="I22" s="6"/>
    </row>
    <row r="23" spans="1:9" x14ac:dyDescent="0.25">
      <c r="A23" s="29">
        <v>20</v>
      </c>
      <c r="B23" s="5"/>
      <c r="C23" s="4"/>
      <c r="D23" s="4"/>
      <c r="E23" s="4"/>
      <c r="F23" s="6"/>
      <c r="G23" s="6"/>
      <c r="H23" s="4"/>
      <c r="I23" s="6"/>
    </row>
  </sheetData>
  <customSheetViews>
    <customSheetView guid="{79CFC90F-9797-4F95-B835-584B9BD0A801}" showPageBreaks="1" showGridLines="0" view="pageLayout">
      <selection activeCell="B4" sqref="B4"/>
    </customSheetView>
  </customSheetViews>
  <pageMargins left="0.25" right="0.25" top="1" bottom="0.75" header="0.3" footer="0.3"/>
  <pageSetup orientation="landscape" r:id="rId1"/>
  <headerFooter>
    <oddHeader>&amp;C&amp;"-,Bold"&amp;18 Modules Posted</oddHeader>
    <oddFooter>&amp;C&amp;G</oddFoot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Links!$E$2:$E$4</xm:f>
          </x14:formula1>
          <xm:sqref>F4:G23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tabSelected="1" workbookViewId="0"/>
  </sheetViews>
  <sheetFormatPr defaultRowHeight="15" x14ac:dyDescent="0.25"/>
  <cols>
    <col min="1" max="1" width="28.5703125" customWidth="1"/>
  </cols>
  <sheetData>
    <row r="1" spans="1:1" x14ac:dyDescent="0.25">
      <c r="A1" s="26" t="s">
        <v>155</v>
      </c>
    </row>
    <row r="2" spans="1:1" x14ac:dyDescent="0.25">
      <c r="A2" t="s">
        <v>156</v>
      </c>
    </row>
    <row r="3" spans="1:1" x14ac:dyDescent="0.25">
      <c r="A3" t="s">
        <v>157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13</vt:i4>
      </vt:variant>
    </vt:vector>
  </HeadingPairs>
  <TitlesOfParts>
    <vt:vector size="29" baseType="lpstr">
      <vt:lpstr>Introduction</vt:lpstr>
      <vt:lpstr>Project Plan</vt:lpstr>
      <vt:lpstr>SME Team Members</vt:lpstr>
      <vt:lpstr>Decision Log</vt:lpstr>
      <vt:lpstr>Question Log</vt:lpstr>
      <vt:lpstr>Risk Log</vt:lpstr>
      <vt:lpstr>Storyboard Schedule</vt:lpstr>
      <vt:lpstr>OJT Schedule</vt:lpstr>
      <vt:lpstr>Link</vt:lpstr>
      <vt:lpstr>SAMPLE-Calendar</vt:lpstr>
      <vt:lpstr>Calendar</vt:lpstr>
      <vt:lpstr>SAMPLE- module specific</vt:lpstr>
      <vt:lpstr>Sheet1</vt:lpstr>
      <vt:lpstr>Edit List</vt:lpstr>
      <vt:lpstr>TEST</vt:lpstr>
      <vt:lpstr>Links</vt:lpstr>
      <vt:lpstr>aa</vt:lpstr>
      <vt:lpstr>Calendar!Print_Area</vt:lpstr>
      <vt:lpstr>'SAMPLE-Calendar'!Print_Area</vt:lpstr>
      <vt:lpstr>'Decision Log'!Print_Titles</vt:lpstr>
      <vt:lpstr>'Edit List'!Print_Titles</vt:lpstr>
      <vt:lpstr>'OJT Schedule'!Print_Titles</vt:lpstr>
      <vt:lpstr>'Project Plan'!Print_Titles</vt:lpstr>
      <vt:lpstr>'Question Log'!Print_Titles</vt:lpstr>
      <vt:lpstr>'Risk Log'!Print_Titles</vt:lpstr>
      <vt:lpstr>'SAMPLE- module specific'!Print_Titles</vt:lpstr>
      <vt:lpstr>'SME Team Members'!Print_Titles</vt:lpstr>
      <vt:lpstr>'Storyboard Schedule'!Print_Titles</vt:lpstr>
      <vt:lpstr>StatusDropDown</vt:lpstr>
    </vt:vector>
  </TitlesOfParts>
  <Company>WSI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Master Project Plan</dc:title>
  <dc:creator>Biele, Lori</dc:creator>
  <cp:lastModifiedBy>Dean Biel</cp:lastModifiedBy>
  <dcterms:created xsi:type="dcterms:W3CDTF">2013-02-27T17:19:08Z</dcterms:created>
  <dcterms:modified xsi:type="dcterms:W3CDTF">2015-11-05T13:32:28Z</dcterms:modified>
</cp:coreProperties>
</file>