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wer consumption - FMC" sheetId="1" r:id="rId3"/>
    <sheet state="visible" name="Analog input" sheetId="2" r:id="rId4"/>
    <sheet state="visible" name="Analog input MAX" sheetId="3" r:id="rId5"/>
    <sheet state="visible" name="Analog input MIN" sheetId="4" r:id="rId6"/>
  </sheets>
  <definedNames/>
  <calcPr/>
</workbook>
</file>

<file path=xl/sharedStrings.xml><?xml version="1.0" encoding="utf-8"?>
<sst xmlns="http://schemas.openxmlformats.org/spreadsheetml/2006/main" count="186" uniqueCount="84">
  <si>
    <t>R1_term [Ohm]</t>
  </si>
  <si>
    <t>R5</t>
  </si>
  <si>
    <t>R10</t>
  </si>
  <si>
    <t>R2_term</t>
  </si>
  <si>
    <t>R6</t>
  </si>
  <si>
    <t>R3</t>
  </si>
  <si>
    <t>R7</t>
  </si>
  <si>
    <t>R4</t>
  </si>
  <si>
    <t>R8</t>
  </si>
  <si>
    <t>R_on</t>
  </si>
  <si>
    <t>Derived from</t>
  </si>
  <si>
    <t>R9</t>
  </si>
  <si>
    <t>Rezystancja wejściowa</t>
  </si>
  <si>
    <t>P12V0</t>
  </si>
  <si>
    <t>P3V3</t>
  </si>
  <si>
    <t>P3V3_AUX</t>
  </si>
  <si>
    <t>A</t>
  </si>
  <si>
    <t>Tłumienie</t>
  </si>
  <si>
    <t>D</t>
  </si>
  <si>
    <t>R1</t>
  </si>
  <si>
    <t>P3V3_AVDD3</t>
  </si>
  <si>
    <t>R2</t>
  </si>
  <si>
    <t>R1||R2</t>
  </si>
  <si>
    <t>R_att</t>
  </si>
  <si>
    <t>R1||R2||R_att</t>
  </si>
  <si>
    <t>P3V3_CLKVDD</t>
  </si>
  <si>
    <t>P5V5</t>
  </si>
  <si>
    <t>P5V0</t>
  </si>
  <si>
    <t>P12V0_AMP</t>
  </si>
  <si>
    <t>N5V0</t>
  </si>
  <si>
    <t>N8V0_AMP</t>
  </si>
  <si>
    <t>P3V3D</t>
  </si>
  <si>
    <t>P3V3_SPIVDD</t>
  </si>
  <si>
    <t>P2V5_AVDD2</t>
  </si>
  <si>
    <t>P1V25_AVDD1</t>
  </si>
  <si>
    <t>P1V25_AVDD1_SR</t>
  </si>
  <si>
    <t>P1V25_DVDD</t>
  </si>
  <si>
    <t>P1V25_DRVDD</t>
  </si>
  <si>
    <t>ADC</t>
  </si>
  <si>
    <t>AD9234</t>
  </si>
  <si>
    <t>Analog input</t>
  </si>
  <si>
    <t>ADA4817</t>
  </si>
  <si>
    <t>ADA4927</t>
  </si>
  <si>
    <t>AQY221N3M</t>
  </si>
  <si>
    <t>Offset control</t>
  </si>
  <si>
    <t>MAX5442</t>
  </si>
  <si>
    <t>ADA4004</t>
  </si>
  <si>
    <t>ADR445</t>
  </si>
  <si>
    <t>Clock</t>
  </si>
  <si>
    <t>AD9528</t>
  </si>
  <si>
    <t>CVHD-950</t>
  </si>
  <si>
    <t>Trigger</t>
  </si>
  <si>
    <t>SN65LVDM176</t>
  </si>
  <si>
    <t>Others</t>
  </si>
  <si>
    <t>LEDs</t>
  </si>
  <si>
    <t>(deafault)</t>
  </si>
  <si>
    <t>AD7291</t>
  </si>
  <si>
    <t>SUM [A]</t>
  </si>
  <si>
    <t>Wzmocnienie</t>
  </si>
  <si>
    <t>Current avalible [A]</t>
  </si>
  <si>
    <t>Voltage [V]</t>
  </si>
  <si>
    <t>Overall</t>
  </si>
  <si>
    <t>Driver gain:</t>
  </si>
  <si>
    <t>Input range +/- [V]</t>
  </si>
  <si>
    <t>Power [W]</t>
  </si>
  <si>
    <t>Input Vpp:</t>
  </si>
  <si>
    <t>Rf</t>
  </si>
  <si>
    <t>Rg</t>
  </si>
  <si>
    <t>LDO</t>
  </si>
  <si>
    <t>Efficency - LDO</t>
  </si>
  <si>
    <t>max:</t>
  </si>
  <si>
    <t>min:</t>
  </si>
  <si>
    <t>PD [W]</t>
  </si>
  <si>
    <t>Current [A]</t>
  </si>
  <si>
    <t>IMP</t>
  </si>
  <si>
    <t>Efficency</t>
  </si>
  <si>
    <t>Sources</t>
  </si>
  <si>
    <t>Max [A]</t>
  </si>
  <si>
    <t>Used</t>
  </si>
  <si>
    <t>VADJ (P1V8)</t>
  </si>
  <si>
    <t>12P0V</t>
  </si>
  <si>
    <t>3P3V</t>
  </si>
  <si>
    <t>3P3VAUX</t>
  </si>
  <si>
    <t>Total power [W]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</si>
</sst>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4">
    <font>
      <sz val="10.0"/>
      <color rgb="FF000000"/>
      <name val="Arial"/>
    </font>
    <font/>
    <font>
      <b/>
      <sz val="12.0"/>
      <color rgb="FF222222"/>
      <name val="Arial"/>
    </font>
    <font>
      <sz val="10.0"/>
      <name val="Arial"/>
    </font>
    <font>
      <b/>
      <sz val="12.0"/>
      <name val="Arial"/>
    </font>
    <font>
      <b/>
      <sz val="10.0"/>
      <name val="Arial"/>
    </font>
    <font>
      <sz val="10.0"/>
    </font>
    <font>
      <sz val="12.0"/>
      <name val="Arial"/>
    </font>
    <font>
      <sz val="12.0"/>
    </font>
    <font>
      <sz val="12.0"/>
      <color rgb="FF000000"/>
      <name val="Arial"/>
    </font>
    <font>
      <sz val="10.0"/>
      <color rgb="FF000000"/>
      <name val="Inconsolata"/>
    </font>
    <font>
      <sz val="11.0"/>
      <color rgb="FF000000"/>
      <name val="Inconsolata"/>
    </font>
    <font>
      <b/>
      <sz val="12.0"/>
      <color rgb="FF000000"/>
      <name val="Arial"/>
    </font>
    <font>
      <b/>
      <sz val="12.0"/>
    </font>
  </fonts>
  <fills count="2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horizontal="center" readingOrder="0"/>
    </xf>
    <xf borderId="0" fillId="0" fontId="3" numFmtId="0" xfId="0" applyFont="1"/>
    <xf borderId="0" fillId="6" fontId="4" numFmtId="0" xfId="0" applyAlignment="1" applyFill="1" applyFont="1">
      <alignment horizontal="center"/>
    </xf>
    <xf borderId="0" fillId="0" fontId="5" numFmtId="0" xfId="0" applyAlignment="1" applyFont="1">
      <alignment horizontal="center" readingOrder="0"/>
    </xf>
    <xf borderId="0" fillId="7" fontId="4" numFmtId="0" xfId="0" applyAlignment="1" applyFill="1" applyFont="1">
      <alignment horizontal="center" readingOrder="0"/>
    </xf>
    <xf borderId="0" fillId="0" fontId="6" numFmtId="0" xfId="0" applyFont="1"/>
    <xf borderId="0" fillId="0" fontId="4" numFmtId="0" xfId="0" applyFont="1"/>
    <xf borderId="0" fillId="0" fontId="3" numFmtId="0" xfId="0" applyAlignment="1" applyFont="1">
      <alignment readingOrder="0"/>
    </xf>
    <xf borderId="0" fillId="8" fontId="4" numFmtId="0" xfId="0" applyAlignment="1" applyFill="1" applyFont="1">
      <alignment horizontal="center" readingOrder="0"/>
    </xf>
    <xf borderId="0" fillId="6" fontId="4" numFmtId="0" xfId="0" applyAlignment="1" applyFont="1">
      <alignment horizontal="center" readingOrder="0"/>
    </xf>
    <xf borderId="0" fillId="0" fontId="7" numFmtId="0" xfId="0" applyAlignment="1" applyFont="1">
      <alignment horizontal="right" readingOrder="0"/>
    </xf>
    <xf borderId="0" fillId="0" fontId="8" numFmtId="0" xfId="0" applyFont="1"/>
    <xf borderId="0" fillId="0" fontId="7" numFmtId="0" xfId="0" applyAlignment="1" applyFont="1">
      <alignment horizontal="right"/>
    </xf>
    <xf borderId="0" fillId="9" fontId="3" numFmtId="0" xfId="0" applyAlignment="1" applyFill="1" applyFont="1">
      <alignment readingOrder="0"/>
    </xf>
    <xf borderId="0" fillId="0" fontId="7" numFmtId="0" xfId="0" applyFont="1"/>
    <xf borderId="0" fillId="10" fontId="7" numFmtId="0" xfId="0" applyAlignment="1" applyFill="1" applyFont="1">
      <alignment readingOrder="0"/>
    </xf>
    <xf borderId="0" fillId="9" fontId="3" numFmtId="0" xfId="0" applyFont="1"/>
    <xf borderId="0" fillId="11" fontId="3" numFmtId="0" xfId="0" applyAlignment="1" applyFill="1" applyFont="1">
      <alignment readingOrder="0"/>
    </xf>
    <xf borderId="0" fillId="11" fontId="3" numFmtId="0" xfId="0" applyFont="1"/>
    <xf borderId="0" fillId="12" fontId="3" numFmtId="0" xfId="0" applyFill="1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6" fontId="4" numFmtId="0" xfId="0" applyFont="1"/>
    <xf borderId="0" fillId="6" fontId="7" numFmtId="0" xfId="0" applyAlignment="1" applyFont="1">
      <alignment readingOrder="0"/>
    </xf>
    <xf borderId="0" fillId="13" fontId="4" numFmtId="0" xfId="0" applyAlignment="1" applyFill="1" applyFont="1">
      <alignment readingOrder="0"/>
    </xf>
    <xf borderId="0" fillId="13" fontId="4" numFmtId="0" xfId="0" applyFont="1"/>
    <xf borderId="0" fillId="14" fontId="9" numFmtId="0" xfId="0" applyAlignment="1" applyFill="1" applyFont="1">
      <alignment horizontal="left" readingOrder="0" vertical="bottom"/>
    </xf>
    <xf borderId="0" fillId="14" fontId="7" numFmtId="0" xfId="0" applyAlignment="1" applyFont="1">
      <alignment readingOrder="0"/>
    </xf>
    <xf borderId="0" fillId="14" fontId="8" numFmtId="0" xfId="0" applyAlignment="1" applyFont="1">
      <alignment readingOrder="0"/>
    </xf>
    <xf borderId="0" fillId="0" fontId="9" numFmtId="0" xfId="0" applyAlignment="1" applyFont="1">
      <alignment horizontal="left" readingOrder="0" vertical="bottom"/>
    </xf>
    <xf borderId="0" fillId="4" fontId="3" numFmtId="0" xfId="0" applyFont="1"/>
    <xf borderId="0" fillId="0" fontId="9" numFmtId="164" xfId="0" applyAlignment="1" applyFont="1" applyNumberFormat="1">
      <alignment horizontal="left" readingOrder="0" vertical="bottom"/>
    </xf>
    <xf borderId="0" fillId="15" fontId="3" numFmtId="0" xfId="0" applyFill="1" applyFont="1"/>
    <xf borderId="0" fillId="0" fontId="7" numFmtId="164" xfId="0" applyAlignment="1" applyFont="1" applyNumberFormat="1">
      <alignment readingOrder="0"/>
    </xf>
    <xf borderId="0" fillId="6" fontId="0" numFmtId="0" xfId="0" applyFont="1"/>
    <xf borderId="0" fillId="0" fontId="7" numFmtId="164" xfId="0" applyFont="1" applyNumberFormat="1"/>
    <xf borderId="0" fillId="15" fontId="0" numFmtId="0" xfId="0" applyFont="1"/>
    <xf borderId="0" fillId="16" fontId="3" numFmtId="0" xfId="0" applyAlignment="1" applyFill="1" applyFont="1">
      <alignment readingOrder="0"/>
    </xf>
    <xf borderId="0" fillId="11" fontId="9" numFmtId="2" xfId="0" applyAlignment="1" applyFont="1" applyNumberFormat="1">
      <alignment horizontal="center" readingOrder="0" vertical="bottom"/>
    </xf>
    <xf borderId="0" fillId="6" fontId="10" numFmtId="0" xfId="0" applyFont="1"/>
    <xf borderId="0" fillId="11" fontId="4" numFmtId="2" xfId="0" applyAlignment="1" applyFont="1" applyNumberFormat="1">
      <alignment horizontal="center" readingOrder="0"/>
    </xf>
    <xf borderId="0" fillId="6" fontId="11" numFmtId="0" xfId="0" applyFont="1"/>
    <xf borderId="0" fillId="0" fontId="9" numFmtId="2" xfId="0" applyAlignment="1" applyFont="1" applyNumberFormat="1">
      <alignment horizontal="left" readingOrder="0" vertical="bottom"/>
    </xf>
    <xf borderId="0" fillId="0" fontId="7" numFmtId="2" xfId="0" applyAlignment="1" applyFont="1" applyNumberFormat="1">
      <alignment readingOrder="0"/>
    </xf>
    <xf borderId="0" fillId="0" fontId="8" numFmtId="2" xfId="0" applyAlignment="1" applyFont="1" applyNumberFormat="1">
      <alignment readingOrder="0"/>
    </xf>
    <xf borderId="0" fillId="0" fontId="7" numFmtId="2" xfId="0" applyFont="1" applyNumberFormat="1"/>
    <xf borderId="0" fillId="0" fontId="8" numFmtId="164" xfId="0" applyAlignment="1" applyFont="1" applyNumberFormat="1">
      <alignment readingOrder="0"/>
    </xf>
    <xf borderId="0" fillId="0" fontId="12" numFmtId="164" xfId="0" applyAlignment="1" applyFont="1" applyNumberFormat="1">
      <alignment horizontal="left" readingOrder="0" vertical="bottom"/>
    </xf>
    <xf borderId="0" fillId="0" fontId="13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17" fontId="9" numFmtId="2" xfId="0" applyAlignment="1" applyFill="1" applyFont="1" applyNumberFormat="1">
      <alignment horizontal="left" readingOrder="0" vertical="bottom"/>
    </xf>
    <xf borderId="0" fillId="17" fontId="7" numFmtId="2" xfId="0" applyAlignment="1" applyFont="1" applyNumberFormat="1">
      <alignment readingOrder="0"/>
    </xf>
    <xf borderId="0" fillId="17" fontId="7" numFmtId="2" xfId="0" applyFont="1" applyNumberFormat="1"/>
    <xf borderId="0" fillId="17" fontId="8" numFmtId="2" xfId="0" applyAlignment="1" applyFont="1" applyNumberFormat="1">
      <alignment readingOrder="0"/>
    </xf>
    <xf borderId="0" fillId="13" fontId="9" numFmtId="2" xfId="0" applyAlignment="1" applyFont="1" applyNumberFormat="1">
      <alignment horizontal="left" readingOrder="0" vertical="bottom"/>
    </xf>
    <xf borderId="0" fillId="13" fontId="7" numFmtId="2" xfId="0" applyAlignment="1" applyFont="1" applyNumberFormat="1">
      <alignment readingOrder="0"/>
    </xf>
    <xf borderId="0" fillId="13" fontId="7" numFmtId="2" xfId="0" applyFont="1" applyNumberFormat="1"/>
    <xf borderId="0" fillId="14" fontId="7" numFmtId="0" xfId="0" applyFont="1"/>
    <xf borderId="0" fillId="11" fontId="4" numFmtId="0" xfId="0" applyAlignment="1" applyFont="1">
      <alignment horizontal="center" readingOrder="0"/>
    </xf>
    <xf borderId="0" fillId="18" fontId="4" numFmtId="164" xfId="0" applyAlignment="1" applyFill="1" applyFont="1" applyNumberFormat="1">
      <alignment readingOrder="0"/>
    </xf>
    <xf borderId="0" fillId="18" fontId="4" numFmtId="164" xfId="0" applyFont="1" applyNumberFormat="1"/>
    <xf borderId="0" fillId="0" fontId="8" numFmtId="164" xfId="0" applyFont="1" applyNumberFormat="1"/>
    <xf borderId="0" fillId="19" fontId="8" numFmtId="0" xfId="0" applyAlignment="1" applyFill="1" applyFont="1">
      <alignment readingOrder="0"/>
    </xf>
    <xf borderId="0" fillId="15" fontId="7" numFmtId="0" xfId="0" applyAlignment="1" applyFont="1">
      <alignment horizontal="center" vertical="bottom"/>
    </xf>
    <xf borderId="0" fillId="15" fontId="7" numFmtId="0" xfId="0" applyAlignment="1" applyFont="1">
      <alignment horizontal="center" readingOrder="0" vertical="bottom"/>
    </xf>
    <xf borderId="0" fillId="0" fontId="8" numFmtId="2" xfId="0" applyFont="1" applyNumberFormat="1"/>
    <xf borderId="0" fillId="0" fontId="7" numFmtId="2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0" fillId="8" fontId="8" numFmtId="2" xfId="0" applyAlignment="1" applyFont="1" applyNumberFormat="1">
      <alignment readingOrder="0"/>
    </xf>
    <xf borderId="0" fillId="8" fontId="13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22.29"/>
    <col customWidth="1" min="2" max="2" width="18.86"/>
    <col customWidth="1" min="3" max="3" width="18.43"/>
    <col customWidth="1" min="9" max="9" width="16.57"/>
    <col customWidth="1" min="10" max="10" width="17.43"/>
    <col customWidth="1" min="11" max="11" width="18.14"/>
    <col customWidth="1" min="12" max="13" width="22.43"/>
    <col customWidth="1" min="14" max="14" width="19.71"/>
    <col customWidth="1" min="15" max="16" width="20.71"/>
  </cols>
  <sheetData>
    <row r="1">
      <c r="A1" s="3" t="s">
        <v>10</v>
      </c>
      <c r="B1" s="5" t="s">
        <v>13</v>
      </c>
      <c r="I1" s="5" t="s">
        <v>14</v>
      </c>
      <c r="P1" s="5" t="s">
        <v>15</v>
      </c>
    </row>
    <row r="2">
      <c r="A2" s="7"/>
      <c r="B2" s="9" t="s">
        <v>16</v>
      </c>
      <c r="C2" s="9" t="s">
        <v>18</v>
      </c>
      <c r="D2" s="9" t="s">
        <v>16</v>
      </c>
      <c r="E2" s="9" t="s">
        <v>16</v>
      </c>
      <c r="F2" s="9" t="s">
        <v>16</v>
      </c>
      <c r="G2" s="9" t="s">
        <v>16</v>
      </c>
      <c r="H2" s="9" t="s">
        <v>16</v>
      </c>
      <c r="I2" s="9" t="s">
        <v>18</v>
      </c>
      <c r="J2" s="9" t="s">
        <v>18</v>
      </c>
      <c r="K2" s="9" t="s">
        <v>16</v>
      </c>
      <c r="L2" s="9" t="s">
        <v>16</v>
      </c>
      <c r="M2" s="9" t="s">
        <v>16</v>
      </c>
      <c r="N2" s="9" t="s">
        <v>18</v>
      </c>
      <c r="O2" s="9" t="s">
        <v>18</v>
      </c>
      <c r="P2" s="9" t="s">
        <v>18</v>
      </c>
    </row>
    <row r="3">
      <c r="A3" s="11"/>
      <c r="B3" s="13" t="s">
        <v>20</v>
      </c>
      <c r="C3" s="13" t="s">
        <v>25</v>
      </c>
      <c r="D3" s="13" t="s">
        <v>26</v>
      </c>
      <c r="E3" s="13" t="s">
        <v>27</v>
      </c>
      <c r="F3" s="13" t="s">
        <v>28</v>
      </c>
      <c r="G3" s="13" t="s">
        <v>29</v>
      </c>
      <c r="H3" s="13" t="s">
        <v>30</v>
      </c>
      <c r="I3" s="13" t="s">
        <v>31</v>
      </c>
      <c r="J3" s="13" t="s">
        <v>32</v>
      </c>
      <c r="K3" s="13" t="s">
        <v>33</v>
      </c>
      <c r="L3" s="13" t="s">
        <v>34</v>
      </c>
      <c r="M3" s="13" t="s">
        <v>35</v>
      </c>
      <c r="N3" s="13" t="s">
        <v>36</v>
      </c>
      <c r="O3" s="13" t="s">
        <v>37</v>
      </c>
      <c r="P3" s="13" t="s">
        <v>15</v>
      </c>
    </row>
    <row r="4">
      <c r="A4" s="14" t="s">
        <v>38</v>
      </c>
      <c r="B4" s="15"/>
      <c r="C4" s="16"/>
      <c r="D4" s="17"/>
      <c r="E4" s="17"/>
      <c r="F4" s="19"/>
      <c r="G4" s="17"/>
      <c r="H4" s="16"/>
      <c r="I4" s="17"/>
      <c r="J4" s="15"/>
      <c r="K4" s="15"/>
      <c r="L4" s="15"/>
      <c r="M4" s="15"/>
      <c r="N4" s="15"/>
      <c r="O4" s="15"/>
      <c r="P4" s="15"/>
    </row>
    <row r="5">
      <c r="A5" s="20" t="s">
        <v>39</v>
      </c>
      <c r="B5" s="15">
        <f>2*0.091</f>
        <v>0.182</v>
      </c>
      <c r="C5" s="16"/>
      <c r="D5" s="17"/>
      <c r="E5" s="17"/>
      <c r="F5" s="19"/>
      <c r="G5" s="17"/>
      <c r="H5" s="16"/>
      <c r="I5" s="17"/>
      <c r="J5" s="15">
        <f>2*0.006</f>
        <v>0.012</v>
      </c>
      <c r="K5" s="15">
        <f>2*0.59</f>
        <v>1.18</v>
      </c>
      <c r="L5" s="15">
        <f>2*0.74</f>
        <v>1.48</v>
      </c>
      <c r="M5" s="15">
        <f>2*0.018</f>
        <v>0.036</v>
      </c>
      <c r="N5" s="15">
        <f>2*0.236</f>
        <v>0.472</v>
      </c>
      <c r="O5" s="15">
        <f>2*0.225</f>
        <v>0.45</v>
      </c>
      <c r="P5" s="15"/>
    </row>
    <row r="6">
      <c r="A6" s="14" t="s">
        <v>40</v>
      </c>
      <c r="B6" s="17"/>
      <c r="C6" s="16"/>
      <c r="D6" s="17"/>
      <c r="E6" s="17"/>
      <c r="F6" s="19"/>
      <c r="G6" s="17"/>
      <c r="H6" s="16"/>
      <c r="I6" s="17"/>
      <c r="J6" s="17"/>
      <c r="K6" s="17"/>
      <c r="L6" s="17"/>
      <c r="M6" s="17"/>
      <c r="N6" s="17"/>
      <c r="O6" s="17"/>
      <c r="P6" s="17"/>
    </row>
    <row r="7">
      <c r="A7" s="20" t="s">
        <v>41</v>
      </c>
      <c r="B7" s="17"/>
      <c r="C7" s="16"/>
      <c r="D7" s="17"/>
      <c r="E7" s="15">
        <v>0.15</v>
      </c>
      <c r="F7" s="19"/>
      <c r="G7" s="15">
        <v>0.15</v>
      </c>
      <c r="H7" s="15"/>
      <c r="I7" s="17"/>
      <c r="J7" s="15"/>
      <c r="K7" s="17"/>
      <c r="L7" s="17"/>
      <c r="M7" s="17"/>
      <c r="N7" s="17"/>
      <c r="O7" s="17"/>
      <c r="P7" s="17"/>
    </row>
    <row r="8">
      <c r="A8" s="20" t="s">
        <v>42</v>
      </c>
      <c r="B8" s="17"/>
      <c r="C8" s="16"/>
      <c r="D8" s="17"/>
      <c r="E8" s="17">
        <f>4*(0.022+(1.34/50))</f>
        <v>0.1952</v>
      </c>
      <c r="F8" s="19"/>
      <c r="G8" s="17">
        <f>4*(0.022+(1.34/50))</f>
        <v>0.1952</v>
      </c>
      <c r="H8" s="16"/>
      <c r="I8" s="17"/>
      <c r="J8" s="17"/>
      <c r="K8" s="17"/>
      <c r="L8" s="17"/>
      <c r="M8" s="17"/>
      <c r="N8" s="17"/>
      <c r="O8" s="17"/>
      <c r="P8" s="17"/>
    </row>
    <row r="9">
      <c r="A9" s="20" t="s">
        <v>43</v>
      </c>
      <c r="B9" s="17"/>
      <c r="C9" s="16"/>
      <c r="D9" s="17"/>
      <c r="E9" s="17"/>
      <c r="F9" s="19"/>
      <c r="G9" s="17"/>
      <c r="H9" s="16"/>
      <c r="I9" s="17">
        <f>4*5*0.012</f>
        <v>0.24</v>
      </c>
      <c r="J9" s="17"/>
      <c r="K9" s="17"/>
      <c r="L9" s="17"/>
      <c r="M9" s="17"/>
      <c r="N9" s="17"/>
      <c r="O9" s="17"/>
      <c r="P9" s="17"/>
    </row>
    <row r="10">
      <c r="A10" s="14" t="s">
        <v>44</v>
      </c>
      <c r="B10" s="17"/>
      <c r="C10" s="16"/>
      <c r="D10" s="17"/>
      <c r="E10" s="17"/>
      <c r="F10" s="19"/>
      <c r="G10" s="17"/>
      <c r="H10" s="16"/>
      <c r="I10" s="17"/>
      <c r="J10" s="17"/>
      <c r="K10" s="17"/>
      <c r="L10" s="17"/>
      <c r="M10" s="17"/>
      <c r="N10" s="17"/>
      <c r="O10" s="17"/>
      <c r="P10" s="17"/>
    </row>
    <row r="11">
      <c r="A11" s="20" t="s">
        <v>45</v>
      </c>
      <c r="B11" s="17"/>
      <c r="C11" s="16"/>
      <c r="D11" s="17">
        <f>4*0.2*10^(-3)</f>
        <v>0.0008</v>
      </c>
      <c r="E11" s="17"/>
      <c r="F11" s="19"/>
      <c r="G11" s="17"/>
      <c r="H11" s="16"/>
      <c r="I11" s="17"/>
      <c r="J11" s="17"/>
      <c r="K11" s="17"/>
      <c r="L11" s="17"/>
      <c r="M11" s="15"/>
      <c r="N11" s="17"/>
      <c r="O11" s="17"/>
      <c r="P11" s="17"/>
    </row>
    <row r="12" ht="17.25" customHeight="1">
      <c r="A12" s="20" t="s">
        <v>46</v>
      </c>
      <c r="B12" s="17"/>
      <c r="C12" s="16"/>
      <c r="D12" s="17"/>
      <c r="E12" s="17"/>
      <c r="F12" s="19">
        <f>4*(0.025+0.0024)</f>
        <v>0.1096</v>
      </c>
      <c r="G12" s="17"/>
      <c r="H12" s="19">
        <f>4*(0.025+0.0024)</f>
        <v>0.1096</v>
      </c>
      <c r="I12" s="17"/>
      <c r="J12" s="17"/>
      <c r="K12" s="17"/>
      <c r="L12" s="17"/>
      <c r="M12" s="17"/>
      <c r="N12" s="17"/>
      <c r="O12" s="17"/>
      <c r="P12" s="17"/>
    </row>
    <row r="13">
      <c r="A13" s="20" t="s">
        <v>47</v>
      </c>
      <c r="B13" s="17"/>
      <c r="C13" s="16"/>
      <c r="D13" s="25"/>
      <c r="E13" s="17"/>
      <c r="G13" s="17"/>
      <c r="H13" s="16"/>
      <c r="I13" s="17"/>
      <c r="J13" s="17"/>
      <c r="K13" s="17"/>
      <c r="L13" s="17"/>
      <c r="M13" s="17"/>
      <c r="N13" s="17"/>
      <c r="O13" s="17"/>
      <c r="P13" s="17"/>
    </row>
    <row r="14">
      <c r="A14" s="14" t="s">
        <v>48</v>
      </c>
      <c r="B14" s="17"/>
      <c r="C14" s="16"/>
      <c r="D14" s="17"/>
      <c r="E14" s="17"/>
      <c r="F14" s="19"/>
      <c r="G14" s="17"/>
      <c r="H14" s="16"/>
      <c r="I14" s="17"/>
      <c r="J14" s="17"/>
      <c r="K14" s="17"/>
      <c r="L14" s="17"/>
      <c r="M14" s="17"/>
      <c r="N14" s="17"/>
      <c r="O14" s="17"/>
      <c r="P14" s="17"/>
    </row>
    <row r="15">
      <c r="A15" s="20" t="s">
        <v>49</v>
      </c>
      <c r="B15" s="17"/>
      <c r="C15" s="26">
        <v>0.735</v>
      </c>
      <c r="D15" s="17"/>
      <c r="E15" s="17"/>
      <c r="F15" s="19"/>
      <c r="G15" s="17"/>
      <c r="H15" s="16"/>
      <c r="I15" s="17"/>
      <c r="J15" s="17"/>
      <c r="K15" s="17"/>
      <c r="L15" s="17"/>
      <c r="M15" s="17"/>
      <c r="N15" s="17"/>
      <c r="O15" s="17"/>
      <c r="P15" s="17"/>
    </row>
    <row r="16">
      <c r="A16" s="20" t="s">
        <v>50</v>
      </c>
      <c r="B16" s="17"/>
      <c r="C16" s="26">
        <v>0.025</v>
      </c>
      <c r="D16" s="17"/>
      <c r="E16" s="17"/>
      <c r="F16" s="19"/>
      <c r="G16" s="17"/>
      <c r="H16" s="16"/>
      <c r="I16" s="17"/>
      <c r="J16" s="17"/>
      <c r="K16" s="17"/>
      <c r="L16" s="17"/>
      <c r="M16" s="17"/>
      <c r="N16" s="17"/>
      <c r="O16" s="17"/>
      <c r="P16" s="17"/>
    </row>
    <row r="17">
      <c r="A17" s="14" t="s">
        <v>51</v>
      </c>
      <c r="B17" s="17"/>
      <c r="C17" s="16"/>
      <c r="D17" s="17"/>
      <c r="E17" s="17"/>
      <c r="F17" s="19"/>
      <c r="G17" s="17"/>
      <c r="H17" s="16"/>
      <c r="I17" s="17"/>
      <c r="J17" s="17"/>
      <c r="K17" s="17"/>
      <c r="L17" s="17"/>
      <c r="M17" s="17"/>
      <c r="N17" s="17"/>
      <c r="O17" s="17"/>
      <c r="P17" s="17"/>
    </row>
    <row r="18">
      <c r="A18" s="20" t="s">
        <v>52</v>
      </c>
      <c r="B18" s="17"/>
      <c r="C18" s="16"/>
      <c r="D18" s="17"/>
      <c r="E18" s="17"/>
      <c r="F18" s="19"/>
      <c r="G18" s="17"/>
      <c r="H18" s="16"/>
      <c r="I18" s="15">
        <v>0.015</v>
      </c>
      <c r="J18" s="17"/>
      <c r="K18" s="17"/>
      <c r="L18" s="17"/>
      <c r="M18" s="17"/>
      <c r="N18" s="17"/>
      <c r="O18" s="17"/>
      <c r="P18" s="17"/>
    </row>
    <row r="19">
      <c r="A19" s="14" t="s">
        <v>53</v>
      </c>
      <c r="B19" s="17"/>
      <c r="C19" s="16"/>
      <c r="D19" s="17"/>
      <c r="E19" s="17"/>
      <c r="F19" s="19"/>
      <c r="G19" s="17"/>
      <c r="H19" s="16"/>
      <c r="I19" s="15"/>
      <c r="J19" s="17"/>
      <c r="K19" s="17"/>
      <c r="L19" s="17"/>
      <c r="M19" s="17"/>
      <c r="N19" s="17"/>
      <c r="O19" s="17"/>
      <c r="P19" s="17"/>
    </row>
    <row r="20">
      <c r="A20" s="20" t="s">
        <v>54</v>
      </c>
      <c r="B20" s="17"/>
      <c r="C20" s="16"/>
      <c r="D20" s="17"/>
      <c r="E20" s="17"/>
      <c r="F20" s="19"/>
      <c r="G20" s="17"/>
      <c r="H20" s="16"/>
      <c r="I20" s="15">
        <v>0.09</v>
      </c>
      <c r="J20" s="17"/>
      <c r="K20" s="17"/>
      <c r="L20" s="17"/>
      <c r="M20" s="17"/>
      <c r="N20" s="17"/>
      <c r="O20" s="17"/>
      <c r="P20" s="17"/>
    </row>
    <row r="21">
      <c r="A21" s="20" t="s">
        <v>56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>
        <v>0.0035</v>
      </c>
    </row>
    <row r="22">
      <c r="A22" s="29" t="s">
        <v>57</v>
      </c>
      <c r="B22" s="30">
        <f t="shared" ref="B22:O22" si="1">SUM(B5:B20)</f>
        <v>0.182</v>
      </c>
      <c r="C22" s="30">
        <f t="shared" si="1"/>
        <v>0.76</v>
      </c>
      <c r="D22" s="30">
        <f t="shared" si="1"/>
        <v>0.0008</v>
      </c>
      <c r="E22" s="30">
        <f t="shared" si="1"/>
        <v>0.3452</v>
      </c>
      <c r="F22" s="30">
        <f t="shared" si="1"/>
        <v>0.1096</v>
      </c>
      <c r="G22" s="30">
        <f t="shared" si="1"/>
        <v>0.3452</v>
      </c>
      <c r="H22" s="30">
        <f t="shared" si="1"/>
        <v>0.1096</v>
      </c>
      <c r="I22" s="30">
        <f t="shared" si="1"/>
        <v>0.345</v>
      </c>
      <c r="J22" s="30">
        <f t="shared" si="1"/>
        <v>0.012</v>
      </c>
      <c r="K22" s="30">
        <f t="shared" si="1"/>
        <v>1.18</v>
      </c>
      <c r="L22" s="30">
        <f t="shared" si="1"/>
        <v>1.48</v>
      </c>
      <c r="M22" s="30">
        <f t="shared" si="1"/>
        <v>0.036</v>
      </c>
      <c r="N22" s="30">
        <f t="shared" si="1"/>
        <v>0.472</v>
      </c>
      <c r="O22" s="30">
        <f t="shared" si="1"/>
        <v>0.45</v>
      </c>
      <c r="P22" s="30">
        <f>SUM(P5:P21)</f>
        <v>0.0035</v>
      </c>
    </row>
    <row r="23">
      <c r="A23" s="31" t="s">
        <v>59</v>
      </c>
      <c r="B23" s="32">
        <v>0.5</v>
      </c>
      <c r="C23" s="33">
        <v>1.0</v>
      </c>
      <c r="D23" s="32">
        <v>0.5</v>
      </c>
      <c r="E23" s="32">
        <v>0.5</v>
      </c>
      <c r="F23" s="32">
        <v>1.0</v>
      </c>
      <c r="G23" s="32">
        <v>0.5</v>
      </c>
      <c r="H23" s="33">
        <v>0.2</v>
      </c>
      <c r="I23" s="32">
        <v>3.0</v>
      </c>
      <c r="J23" s="32">
        <v>3.0</v>
      </c>
      <c r="K23" s="32">
        <v>2.0</v>
      </c>
      <c r="L23" s="32">
        <v>2.0</v>
      </c>
      <c r="N23" s="32">
        <v>2.0</v>
      </c>
      <c r="P23" s="32">
        <v>0.02</v>
      </c>
    </row>
    <row r="24">
      <c r="A24" s="34" t="s">
        <v>60</v>
      </c>
      <c r="B24" s="25">
        <v>3.3</v>
      </c>
      <c r="C24" s="26">
        <v>3.3</v>
      </c>
      <c r="D24" s="25">
        <v>5.5</v>
      </c>
      <c r="E24" s="25">
        <v>5.0</v>
      </c>
      <c r="F24" s="25">
        <v>12.0</v>
      </c>
      <c r="G24" s="25">
        <v>-5.0</v>
      </c>
      <c r="H24" s="26">
        <v>-8.0</v>
      </c>
      <c r="I24" s="25">
        <v>3.3</v>
      </c>
      <c r="J24" s="25">
        <v>3.3</v>
      </c>
      <c r="K24" s="25">
        <v>2.5</v>
      </c>
      <c r="L24" s="25">
        <v>1.25</v>
      </c>
      <c r="N24" s="25">
        <v>1.25</v>
      </c>
      <c r="P24" s="25">
        <v>3.3</v>
      </c>
    </row>
    <row r="25">
      <c r="A25" s="36" t="s">
        <v>64</v>
      </c>
      <c r="B25" s="38">
        <f t="shared" ref="B25:F25" si="2">B22*B24</f>
        <v>0.6006</v>
      </c>
      <c r="C25" s="38">
        <f t="shared" si="2"/>
        <v>2.508</v>
      </c>
      <c r="D25" s="38">
        <f t="shared" si="2"/>
        <v>0.0044</v>
      </c>
      <c r="E25" s="38">
        <f t="shared" si="2"/>
        <v>1.726</v>
      </c>
      <c r="F25" s="38">
        <f t="shared" si="2"/>
        <v>1.3152</v>
      </c>
      <c r="G25" s="40">
        <f t="shared" ref="G25:H25" si="3">-G22*G24</f>
        <v>1.726</v>
      </c>
      <c r="H25" s="40">
        <f t="shared" si="3"/>
        <v>0.8768</v>
      </c>
      <c r="I25" s="40">
        <f t="shared" ref="I25:K25" si="4">I22*I24</f>
        <v>1.1385</v>
      </c>
      <c r="J25" s="40">
        <f t="shared" si="4"/>
        <v>0.0396</v>
      </c>
      <c r="K25" s="40">
        <f t="shared" si="4"/>
        <v>2.95</v>
      </c>
      <c r="L25" s="40">
        <f>(L22+M22)*L24</f>
        <v>1.895</v>
      </c>
      <c r="N25" s="40">
        <f>(N22+O22)*N24</f>
        <v>1.1525</v>
      </c>
      <c r="P25" s="40">
        <f>(P22)*P24</f>
        <v>0.01155</v>
      </c>
    </row>
    <row r="26">
      <c r="A26" s="43"/>
      <c r="B26" s="45" t="s">
        <v>68</v>
      </c>
    </row>
    <row r="27">
      <c r="A27" s="47" t="s">
        <v>69</v>
      </c>
      <c r="B27" s="48">
        <v>0.89</v>
      </c>
      <c r="C27" s="49">
        <v>0.89</v>
      </c>
      <c r="D27" s="48">
        <v>0.46</v>
      </c>
      <c r="E27" s="48">
        <v>0.91</v>
      </c>
      <c r="F27" s="48"/>
      <c r="G27" s="48">
        <v>0.63</v>
      </c>
      <c r="H27" s="49"/>
      <c r="I27" s="50"/>
      <c r="J27" s="50"/>
      <c r="K27" s="48">
        <v>0.76</v>
      </c>
      <c r="L27" s="48">
        <f>L24/L33</f>
        <v>0.7575757576</v>
      </c>
      <c r="N27" s="48">
        <f>N24/L33</f>
        <v>0.7575757576</v>
      </c>
      <c r="P27" s="48"/>
    </row>
    <row r="28">
      <c r="A28" s="36" t="s">
        <v>72</v>
      </c>
      <c r="B28" s="51">
        <f t="shared" ref="B28:E28" si="5">B29-B25</f>
        <v>0.07423146067</v>
      </c>
      <c r="C28" s="51">
        <f t="shared" si="5"/>
        <v>0.3099775281</v>
      </c>
      <c r="D28" s="51">
        <f t="shared" si="5"/>
        <v>0.005165217391</v>
      </c>
      <c r="E28" s="51">
        <f t="shared" si="5"/>
        <v>0.1707032967</v>
      </c>
      <c r="F28" s="51"/>
      <c r="G28" s="51">
        <f>G29-G25</f>
        <v>1.01368254</v>
      </c>
      <c r="H28" s="51"/>
      <c r="I28" s="51"/>
      <c r="J28" s="51"/>
      <c r="K28" s="51">
        <f t="shared" ref="K28:L28" si="6">K29-K25</f>
        <v>0.9315789474</v>
      </c>
      <c r="L28" s="51">
        <f t="shared" si="6"/>
        <v>0.6064</v>
      </c>
      <c r="N28" s="51">
        <f>N29-N25</f>
        <v>0.3688</v>
      </c>
      <c r="P28" s="51"/>
    </row>
    <row r="29">
      <c r="A29" s="52" t="s">
        <v>64</v>
      </c>
      <c r="B29" s="53">
        <f t="shared" ref="B29:E29" si="7">B25/B27</f>
        <v>0.6748314607</v>
      </c>
      <c r="C29" s="53">
        <f t="shared" si="7"/>
        <v>2.817977528</v>
      </c>
      <c r="D29" s="53">
        <f t="shared" si="7"/>
        <v>0.009565217391</v>
      </c>
      <c r="E29" s="53">
        <f t="shared" si="7"/>
        <v>1.896703297</v>
      </c>
      <c r="F29" s="54"/>
      <c r="G29" s="53">
        <f>G25/G27</f>
        <v>2.73968254</v>
      </c>
      <c r="H29" s="53">
        <f>-H22*H24</f>
        <v>0.8768</v>
      </c>
      <c r="I29" s="53"/>
      <c r="J29" s="53"/>
      <c r="K29" s="53">
        <f t="shared" ref="K29:L29" si="8">K25/K27</f>
        <v>3.881578947</v>
      </c>
      <c r="L29" s="53">
        <f t="shared" si="8"/>
        <v>2.5014</v>
      </c>
      <c r="N29" s="53">
        <f>N25/N27</f>
        <v>1.5213</v>
      </c>
      <c r="P29" s="53"/>
    </row>
    <row r="30">
      <c r="A30" s="55"/>
      <c r="B30" s="56"/>
      <c r="C30" s="56"/>
      <c r="D30" s="56"/>
      <c r="E30" s="56"/>
      <c r="F30" s="56"/>
      <c r="G30" s="57"/>
      <c r="H30" s="58"/>
      <c r="I30" s="57"/>
      <c r="J30" s="57"/>
      <c r="K30" s="57"/>
      <c r="L30" s="57"/>
      <c r="M30" s="57"/>
      <c r="N30" s="57"/>
      <c r="O30" s="57"/>
      <c r="P30" s="57"/>
    </row>
    <row r="31">
      <c r="A31" s="59" t="s">
        <v>73</v>
      </c>
      <c r="B31" s="60">
        <f>(B29+C29)/B33</f>
        <v>0.9440024294</v>
      </c>
      <c r="D31" s="60"/>
      <c r="E31" s="60">
        <f>E29/E33</f>
        <v>0.3448551449</v>
      </c>
      <c r="F31" s="60"/>
      <c r="G31" s="61">
        <f>-(G29+H29)/G33</f>
        <v>0.4520603175</v>
      </c>
      <c r="I31" s="61"/>
      <c r="J31" s="61"/>
      <c r="K31" s="61"/>
      <c r="L31" s="61">
        <f>(L29+N29)/L33</f>
        <v>2.438</v>
      </c>
      <c r="P31" s="61"/>
    </row>
    <row r="32">
      <c r="A32" s="31" t="s">
        <v>59</v>
      </c>
      <c r="B32" s="32">
        <v>2.5</v>
      </c>
      <c r="D32" s="32"/>
      <c r="E32" s="32">
        <v>2.5</v>
      </c>
      <c r="F32" s="32"/>
      <c r="G32" s="32">
        <v>0.5</v>
      </c>
      <c r="I32" s="62"/>
      <c r="J32" s="62"/>
      <c r="K32" s="62"/>
      <c r="L32" s="32">
        <v>3.0</v>
      </c>
      <c r="P32" s="32"/>
    </row>
    <row r="33">
      <c r="A33" s="34" t="s">
        <v>60</v>
      </c>
      <c r="B33" s="25">
        <v>3.7</v>
      </c>
      <c r="D33" s="25"/>
      <c r="E33" s="25">
        <v>5.5</v>
      </c>
      <c r="F33" s="25"/>
      <c r="G33" s="25">
        <v>-8.0</v>
      </c>
      <c r="I33" s="19"/>
      <c r="J33" s="19"/>
      <c r="K33" s="19"/>
      <c r="L33" s="25">
        <v>1.65</v>
      </c>
      <c r="P33" s="25"/>
    </row>
    <row r="34">
      <c r="A34" s="36" t="s">
        <v>64</v>
      </c>
      <c r="B34" s="38">
        <f>B31*B33</f>
        <v>3.492808989</v>
      </c>
      <c r="D34" s="38"/>
      <c r="E34" s="38">
        <f>E31*E33</f>
        <v>1.896703297</v>
      </c>
      <c r="F34" s="38"/>
      <c r="G34" s="40">
        <f>-G31*G33</f>
        <v>3.61648254</v>
      </c>
      <c r="I34" s="40"/>
      <c r="J34" s="40"/>
      <c r="K34" s="40"/>
      <c r="L34" s="40">
        <f>L31*L33</f>
        <v>4.0227</v>
      </c>
      <c r="P34" s="40"/>
    </row>
    <row r="35">
      <c r="A35" s="34"/>
      <c r="B35" s="63" t="s">
        <v>74</v>
      </c>
    </row>
    <row r="36">
      <c r="A36" s="34" t="s">
        <v>75</v>
      </c>
      <c r="B36" s="25">
        <v>0.91</v>
      </c>
      <c r="D36" s="25"/>
      <c r="E36" s="25">
        <v>0.91</v>
      </c>
      <c r="F36" s="25"/>
      <c r="G36" s="25">
        <v>0.8</v>
      </c>
      <c r="I36" s="19"/>
      <c r="J36" s="19"/>
      <c r="K36" s="19"/>
      <c r="L36" s="25">
        <v>0.86</v>
      </c>
      <c r="P36" s="25"/>
    </row>
    <row r="37">
      <c r="A37" s="34" t="s">
        <v>72</v>
      </c>
      <c r="B37" s="38">
        <f>B38-B34</f>
        <v>0.3454426472</v>
      </c>
      <c r="D37" s="25"/>
      <c r="E37" s="38">
        <f>E38-E34</f>
        <v>0.1875860403</v>
      </c>
      <c r="F37" s="25"/>
      <c r="G37" s="38">
        <f>G38-G34</f>
        <v>0.9041206349</v>
      </c>
      <c r="I37" s="19"/>
      <c r="J37" s="19"/>
      <c r="K37" s="19"/>
      <c r="L37" s="38">
        <f>L38-L34</f>
        <v>0.6548581395</v>
      </c>
      <c r="P37" s="25"/>
    </row>
    <row r="38">
      <c r="A38" s="64" t="s">
        <v>64</v>
      </c>
      <c r="B38" s="65">
        <f>B34/B36</f>
        <v>3.838251636</v>
      </c>
      <c r="D38" s="65">
        <f>D29</f>
        <v>0.009565217391</v>
      </c>
      <c r="E38" s="64">
        <f>E34/E36</f>
        <v>2.084289337</v>
      </c>
      <c r="F38" s="65">
        <f>F24*F22</f>
        <v>1.3152</v>
      </c>
      <c r="G38" s="65">
        <f>G34/G36</f>
        <v>4.520603175</v>
      </c>
      <c r="I38" s="65">
        <f t="shared" ref="I38:J38" si="9">I22*I24</f>
        <v>1.1385</v>
      </c>
      <c r="J38" s="65">
        <f t="shared" si="9"/>
        <v>0.0396</v>
      </c>
      <c r="K38" s="65">
        <f>K29</f>
        <v>3.881578947</v>
      </c>
      <c r="L38" s="65">
        <f>L34/L36</f>
        <v>4.67755814</v>
      </c>
      <c r="P38" s="65">
        <f>P25</f>
        <v>0.01155</v>
      </c>
    </row>
    <row r="39">
      <c r="A39" s="55"/>
      <c r="B39" s="56"/>
      <c r="C39" s="56"/>
      <c r="D39" s="56"/>
      <c r="E39" s="56"/>
      <c r="F39" s="56"/>
      <c r="G39" s="57"/>
      <c r="H39" s="58"/>
      <c r="I39" s="57"/>
      <c r="J39" s="57"/>
      <c r="K39" s="57"/>
      <c r="L39" s="57"/>
      <c r="M39" s="57"/>
      <c r="N39" s="57"/>
      <c r="O39" s="57"/>
      <c r="P39" s="57"/>
    </row>
    <row r="40">
      <c r="A40" s="38" t="s">
        <v>73</v>
      </c>
      <c r="B40" s="66">
        <f>B38/B41</f>
        <v>0.319854303</v>
      </c>
      <c r="D40" s="66">
        <f>D38/B41</f>
        <v>0.0007971014493</v>
      </c>
      <c r="E40" s="66">
        <f>E38/B41</f>
        <v>0.1736907781</v>
      </c>
      <c r="F40" s="66">
        <f>F22</f>
        <v>0.1096</v>
      </c>
      <c r="G40" s="66"/>
      <c r="H40" s="66"/>
      <c r="I40" s="66">
        <f t="shared" ref="I40:J40" si="10">I22</f>
        <v>0.345</v>
      </c>
      <c r="J40" s="66">
        <f t="shared" si="10"/>
        <v>0.012</v>
      </c>
      <c r="K40" s="66">
        <f>K38/I41</f>
        <v>1.176236045</v>
      </c>
      <c r="L40" s="66">
        <f>L38/I41</f>
        <v>1.41744186</v>
      </c>
      <c r="P40" s="66">
        <f>P22</f>
        <v>0.0035</v>
      </c>
    </row>
    <row r="41">
      <c r="A41" s="67" t="s">
        <v>60</v>
      </c>
      <c r="B41" s="67">
        <v>12.0</v>
      </c>
      <c r="I41" s="67">
        <v>3.3</v>
      </c>
      <c r="P41" s="67">
        <v>3.3</v>
      </c>
    </row>
    <row r="42">
      <c r="A42" s="16"/>
      <c r="B42" s="16"/>
      <c r="C42" s="26"/>
      <c r="D42" s="2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</row>
    <row r="43">
      <c r="A43" s="16"/>
      <c r="B43" s="26"/>
      <c r="C43" s="2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</row>
    <row r="44">
      <c r="A44" s="16"/>
      <c r="B44" s="26"/>
      <c r="C44" s="26"/>
      <c r="D44" s="16"/>
      <c r="E44" s="16"/>
      <c r="F44" s="16"/>
      <c r="G44" s="16"/>
      <c r="H44" s="16"/>
      <c r="I44" s="26"/>
      <c r="J44" s="26"/>
      <c r="K44" s="16"/>
      <c r="L44" s="16"/>
      <c r="M44" s="16"/>
      <c r="N44" s="16"/>
      <c r="O44" s="16"/>
      <c r="P44" s="16"/>
    </row>
    <row r="45">
      <c r="A45" s="16"/>
      <c r="B45" s="68" t="s">
        <v>76</v>
      </c>
      <c r="C45" s="69" t="s">
        <v>77</v>
      </c>
      <c r="D45" s="69" t="s">
        <v>78</v>
      </c>
      <c r="E45" s="16"/>
      <c r="F45" s="16"/>
      <c r="G45" s="16"/>
      <c r="H45" s="16"/>
      <c r="I45" s="26"/>
      <c r="J45" s="26"/>
      <c r="K45" s="16"/>
      <c r="L45" s="16"/>
      <c r="M45" s="16"/>
      <c r="N45" s="16"/>
      <c r="O45" s="16"/>
      <c r="P45" s="16"/>
    </row>
    <row r="46">
      <c r="A46" s="70"/>
      <c r="B46" s="71" t="s">
        <v>79</v>
      </c>
      <c r="C46" s="71">
        <v>4.0</v>
      </c>
      <c r="D46" s="49">
        <v>0.0</v>
      </c>
      <c r="E46" s="70"/>
      <c r="F46" s="70"/>
      <c r="G46" s="70"/>
      <c r="H46" s="70"/>
      <c r="I46" s="49"/>
      <c r="J46" s="49"/>
      <c r="K46" s="70"/>
      <c r="L46" s="70"/>
      <c r="M46" s="70"/>
      <c r="N46" s="70"/>
      <c r="O46" s="70"/>
      <c r="P46" s="70"/>
    </row>
    <row r="47">
      <c r="A47" s="70"/>
      <c r="B47" s="71" t="s">
        <v>80</v>
      </c>
      <c r="C47" s="71">
        <v>1.0</v>
      </c>
      <c r="D47" s="70">
        <f>SUM(B40:H40)</f>
        <v>0.6039421825</v>
      </c>
      <c r="E47" s="70"/>
      <c r="F47" s="70"/>
      <c r="G47" s="70"/>
      <c r="H47" s="70"/>
      <c r="I47" s="49"/>
      <c r="J47" s="49"/>
      <c r="K47" s="70"/>
      <c r="L47" s="70"/>
      <c r="M47" s="70"/>
      <c r="N47" s="70"/>
      <c r="O47" s="70"/>
      <c r="P47" s="70"/>
    </row>
    <row r="48">
      <c r="A48" s="70"/>
      <c r="B48" s="71" t="s">
        <v>81</v>
      </c>
      <c r="C48" s="71">
        <v>3.0</v>
      </c>
      <c r="D48" s="70">
        <f>SUM(I40:O40)</f>
        <v>2.950677905</v>
      </c>
      <c r="E48" s="70"/>
      <c r="F48" s="70"/>
      <c r="G48" s="70"/>
      <c r="H48" s="70"/>
      <c r="I48" s="49"/>
      <c r="J48" s="49"/>
      <c r="K48" s="70"/>
      <c r="L48" s="70"/>
      <c r="M48" s="70"/>
      <c r="N48" s="70"/>
      <c r="O48" s="70"/>
      <c r="P48" s="70"/>
    </row>
    <row r="49">
      <c r="A49" s="16"/>
      <c r="B49" s="72" t="s">
        <v>82</v>
      </c>
      <c r="C49" s="72">
        <v>0.02</v>
      </c>
      <c r="D49" s="66">
        <f>P40</f>
        <v>0.0035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>
      <c r="A52" s="70"/>
      <c r="B52" s="73" t="s">
        <v>83</v>
      </c>
      <c r="C52" s="74">
        <f>SUM(B38:O38)</f>
        <v>21.50514645</v>
      </c>
      <c r="D52" s="4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</row>
  </sheetData>
  <mergeCells count="41">
    <mergeCell ref="L34:O34"/>
    <mergeCell ref="L36:O36"/>
    <mergeCell ref="B32:C32"/>
    <mergeCell ref="G32:H32"/>
    <mergeCell ref="B34:C34"/>
    <mergeCell ref="B36:C36"/>
    <mergeCell ref="G36:H36"/>
    <mergeCell ref="G37:H37"/>
    <mergeCell ref="L33:O33"/>
    <mergeCell ref="B31:C31"/>
    <mergeCell ref="B35:P35"/>
    <mergeCell ref="B33:C33"/>
    <mergeCell ref="L37:O37"/>
    <mergeCell ref="G31:H31"/>
    <mergeCell ref="B37:C37"/>
    <mergeCell ref="L40:O40"/>
    <mergeCell ref="L38:O38"/>
    <mergeCell ref="B40:C40"/>
    <mergeCell ref="I41:O41"/>
    <mergeCell ref="B41:H41"/>
    <mergeCell ref="B38:C38"/>
    <mergeCell ref="N24:O24"/>
    <mergeCell ref="N25:O25"/>
    <mergeCell ref="I1:O1"/>
    <mergeCell ref="B1:H1"/>
    <mergeCell ref="N23:O23"/>
    <mergeCell ref="L23:M23"/>
    <mergeCell ref="N29:O29"/>
    <mergeCell ref="N28:O28"/>
    <mergeCell ref="L28:M28"/>
    <mergeCell ref="L29:M29"/>
    <mergeCell ref="L27:M27"/>
    <mergeCell ref="N27:O27"/>
    <mergeCell ref="L25:M25"/>
    <mergeCell ref="L24:M24"/>
    <mergeCell ref="B26:P26"/>
    <mergeCell ref="L32:O32"/>
    <mergeCell ref="L31:O31"/>
    <mergeCell ref="G34:H34"/>
    <mergeCell ref="G33:H33"/>
    <mergeCell ref="G38:H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f>52.3+0*52.3</f>
        <v>52.3</v>
      </c>
      <c r="D1" s="1" t="s">
        <v>1</v>
      </c>
      <c r="E1" s="2">
        <f>825-0*825</f>
        <v>825</v>
      </c>
      <c r="F1" s="2"/>
      <c r="G1" s="1" t="s">
        <v>2</v>
      </c>
      <c r="H1" s="2">
        <f>86.6-0*86.6</f>
        <v>86.6</v>
      </c>
    </row>
    <row r="2">
      <c r="A2" s="1" t="s">
        <v>3</v>
      </c>
      <c r="B2" s="2">
        <f>3010-0*3010</f>
        <v>3010</v>
      </c>
      <c r="D2" s="1" t="s">
        <v>4</v>
      </c>
      <c r="E2" s="2">
        <f>86.6-0*86.6</f>
        <v>86.6</v>
      </c>
    </row>
    <row r="3">
      <c r="A3" s="1" t="s">
        <v>5</v>
      </c>
      <c r="B3" s="2">
        <f>825-0*825</f>
        <v>825</v>
      </c>
      <c r="D3" s="1" t="s">
        <v>6</v>
      </c>
      <c r="E3" s="2">
        <f>825+0*825</f>
        <v>825</v>
      </c>
    </row>
    <row r="4">
      <c r="A4" s="1" t="s">
        <v>7</v>
      </c>
      <c r="B4" s="2">
        <f>86.6-0*86.6</f>
        <v>86.6</v>
      </c>
      <c r="D4" s="1" t="s">
        <v>8</v>
      </c>
      <c r="E4" s="2">
        <f>86.6+0*86.6</f>
        <v>86.6</v>
      </c>
    </row>
    <row r="5">
      <c r="A5" s="1" t="s">
        <v>9</v>
      </c>
      <c r="B5" s="2">
        <v>5.5</v>
      </c>
      <c r="D5" s="1" t="s">
        <v>11</v>
      </c>
      <c r="E5" s="2">
        <f>825-0*825</f>
        <v>825</v>
      </c>
    </row>
    <row r="7">
      <c r="A7" s="4" t="s">
        <v>12</v>
      </c>
      <c r="B7" s="4"/>
      <c r="C7" s="6"/>
      <c r="D7" s="6"/>
      <c r="E7" s="6"/>
      <c r="F7" s="6"/>
      <c r="G7" s="8"/>
      <c r="H7" s="8"/>
      <c r="I7" s="8"/>
      <c r="J7" s="6"/>
      <c r="K7" s="4" t="s">
        <v>17</v>
      </c>
      <c r="L7" s="10"/>
    </row>
    <row r="8">
      <c r="A8" s="12" t="s">
        <v>19</v>
      </c>
      <c r="B8" s="12" t="s">
        <v>21</v>
      </c>
      <c r="C8" s="12" t="s">
        <v>5</v>
      </c>
      <c r="D8" s="12" t="s">
        <v>7</v>
      </c>
      <c r="E8" s="12" t="s">
        <v>1</v>
      </c>
      <c r="F8" s="12" t="s">
        <v>4</v>
      </c>
      <c r="G8" s="8" t="s">
        <v>22</v>
      </c>
      <c r="H8" s="8" t="s">
        <v>23</v>
      </c>
      <c r="I8" s="8" t="s">
        <v>24</v>
      </c>
      <c r="J8" s="6"/>
      <c r="K8" s="6"/>
      <c r="L8" s="10"/>
      <c r="M8" s="2"/>
      <c r="N8" s="2"/>
      <c r="O8" s="2"/>
      <c r="P8" s="2"/>
    </row>
    <row r="9">
      <c r="A9" s="18">
        <f t="shared" ref="A9:A16" si="1">B$1</f>
        <v>52.3</v>
      </c>
      <c r="B9" s="18">
        <f t="shared" ref="B9:B12" si="2">B$2+B$5</f>
        <v>3015.5</v>
      </c>
      <c r="C9" s="18">
        <f t="shared" ref="C9:C10" si="3">B$3</f>
        <v>825</v>
      </c>
      <c r="D9" s="21">
        <f t="shared" ref="D9:D16" si="4">B$4</f>
        <v>86.6</v>
      </c>
      <c r="E9" s="21">
        <f>E$1</f>
        <v>825</v>
      </c>
      <c r="F9" s="21">
        <f t="shared" ref="F9:F16" si="5">E$2</f>
        <v>86.6</v>
      </c>
      <c r="G9" s="22">
        <f t="shared" ref="G9:G12" si="6">A9*B9/(A9+B9)</f>
        <v>51.40838712</v>
      </c>
      <c r="H9" s="23">
        <f t="shared" ref="H9:H16" si="7">SUM(C9:F9)</f>
        <v>1823.2</v>
      </c>
      <c r="I9" s="24">
        <f t="shared" ref="I9:I16" si="8">G9*H9/(G9+H9)</f>
        <v>49.99858746</v>
      </c>
      <c r="J9" s="6"/>
      <c r="K9" s="6">
        <f t="shared" ref="K9:K16" si="9">SUM(E9:F9)/(SUM(C9:F9))</f>
        <v>0.5</v>
      </c>
      <c r="L9" s="10"/>
    </row>
    <row r="10">
      <c r="A10" s="12">
        <f t="shared" si="1"/>
        <v>52.3</v>
      </c>
      <c r="B10" s="12">
        <f t="shared" si="2"/>
        <v>3015.5</v>
      </c>
      <c r="C10" s="12">
        <f t="shared" si="3"/>
        <v>825</v>
      </c>
      <c r="D10" s="6">
        <f t="shared" si="4"/>
        <v>86.6</v>
      </c>
      <c r="E10" s="12">
        <f>E$1*B$5/(E$1+B$5)</f>
        <v>5.463576159</v>
      </c>
      <c r="F10" s="6">
        <f t="shared" si="5"/>
        <v>86.6</v>
      </c>
      <c r="G10" s="22">
        <f t="shared" si="6"/>
        <v>51.40838712</v>
      </c>
      <c r="H10" s="23">
        <f t="shared" si="7"/>
        <v>1003.663576</v>
      </c>
      <c r="I10" s="23">
        <f t="shared" si="8"/>
        <v>48.90351318</v>
      </c>
      <c r="J10" s="6"/>
      <c r="K10" s="6">
        <f t="shared" si="9"/>
        <v>0.09172752538</v>
      </c>
      <c r="L10" s="10"/>
    </row>
    <row r="11">
      <c r="A11" s="12">
        <f t="shared" si="1"/>
        <v>52.3</v>
      </c>
      <c r="B11" s="12">
        <f t="shared" si="2"/>
        <v>3015.5</v>
      </c>
      <c r="C11" s="12">
        <f t="shared" ref="C11:C12" si="10">B$3*B$5/(B$3+B$5)</f>
        <v>5.463576159</v>
      </c>
      <c r="D11" s="6">
        <f t="shared" si="4"/>
        <v>86.6</v>
      </c>
      <c r="E11" s="6">
        <f>E$1</f>
        <v>825</v>
      </c>
      <c r="F11" s="6">
        <f t="shared" si="5"/>
        <v>86.6</v>
      </c>
      <c r="G11" s="22">
        <f t="shared" si="6"/>
        <v>51.40838712</v>
      </c>
      <c r="H11" s="23">
        <f t="shared" si="7"/>
        <v>1003.663576</v>
      </c>
      <c r="I11" s="23">
        <f t="shared" si="8"/>
        <v>48.90351318</v>
      </c>
      <c r="J11" s="6"/>
      <c r="K11" s="6">
        <f t="shared" si="9"/>
        <v>0.9082724746</v>
      </c>
      <c r="L11" s="10"/>
    </row>
    <row r="12">
      <c r="A12" s="12">
        <f t="shared" si="1"/>
        <v>52.3</v>
      </c>
      <c r="B12" s="12">
        <f t="shared" si="2"/>
        <v>3015.5</v>
      </c>
      <c r="C12" s="12">
        <f t="shared" si="10"/>
        <v>5.463576159</v>
      </c>
      <c r="D12" s="6">
        <f t="shared" si="4"/>
        <v>86.6</v>
      </c>
      <c r="E12" s="12">
        <f>E$1*B$5/(E$1+B$5)</f>
        <v>5.463576159</v>
      </c>
      <c r="F12" s="6">
        <f t="shared" si="5"/>
        <v>86.6</v>
      </c>
      <c r="G12" s="22">
        <f t="shared" si="6"/>
        <v>51.40838712</v>
      </c>
      <c r="H12" s="23">
        <f t="shared" si="7"/>
        <v>184.1271523</v>
      </c>
      <c r="I12" s="23">
        <f t="shared" si="8"/>
        <v>40.18790518</v>
      </c>
      <c r="J12" s="6"/>
      <c r="K12" s="6">
        <f t="shared" si="9"/>
        <v>0.5</v>
      </c>
      <c r="L12" s="10"/>
    </row>
    <row r="13">
      <c r="A13" s="12">
        <f t="shared" si="1"/>
        <v>52.3</v>
      </c>
      <c r="B13" s="12"/>
      <c r="C13" s="12">
        <f t="shared" ref="C13:C14" si="11">B$3</f>
        <v>825</v>
      </c>
      <c r="D13" s="6">
        <f t="shared" si="4"/>
        <v>86.6</v>
      </c>
      <c r="E13" s="6">
        <f>E$1</f>
        <v>825</v>
      </c>
      <c r="F13" s="6">
        <f t="shared" si="5"/>
        <v>86.6</v>
      </c>
      <c r="G13" s="22">
        <f t="shared" ref="G13:G16" si="12">A13</f>
        <v>52.3</v>
      </c>
      <c r="H13" s="23">
        <f t="shared" si="7"/>
        <v>1823.2</v>
      </c>
      <c r="I13" s="23">
        <f t="shared" si="8"/>
        <v>50.84156758</v>
      </c>
      <c r="J13" s="12" t="s">
        <v>55</v>
      </c>
      <c r="K13" s="6">
        <f t="shared" si="9"/>
        <v>0.5</v>
      </c>
      <c r="L13" s="10"/>
    </row>
    <row r="14">
      <c r="A14" s="18">
        <f t="shared" si="1"/>
        <v>52.3</v>
      </c>
      <c r="B14" s="18"/>
      <c r="C14" s="18">
        <f t="shared" si="11"/>
        <v>825</v>
      </c>
      <c r="D14" s="21">
        <f t="shared" si="4"/>
        <v>86.6</v>
      </c>
      <c r="E14" s="18">
        <f>E$1*B$5/(E$1+B$5)</f>
        <v>5.463576159</v>
      </c>
      <c r="F14" s="21">
        <f t="shared" si="5"/>
        <v>86.6</v>
      </c>
      <c r="G14" s="22">
        <f t="shared" si="12"/>
        <v>52.3</v>
      </c>
      <c r="H14" s="23">
        <f t="shared" si="7"/>
        <v>1003.663576</v>
      </c>
      <c r="I14" s="24">
        <f t="shared" si="8"/>
        <v>49.70967391</v>
      </c>
      <c r="J14" s="6"/>
      <c r="K14" s="6">
        <f t="shared" si="9"/>
        <v>0.09172752538</v>
      </c>
      <c r="L14" s="10"/>
    </row>
    <row r="15">
      <c r="A15" s="18">
        <f t="shared" si="1"/>
        <v>52.3</v>
      </c>
      <c r="B15" s="18"/>
      <c r="C15" s="18">
        <f t="shared" ref="C15:C16" si="13">B$3*B$5/(B$3+B$5)</f>
        <v>5.463576159</v>
      </c>
      <c r="D15" s="21">
        <f t="shared" si="4"/>
        <v>86.6</v>
      </c>
      <c r="E15" s="21">
        <f>E$1</f>
        <v>825</v>
      </c>
      <c r="F15" s="21">
        <f t="shared" si="5"/>
        <v>86.6</v>
      </c>
      <c r="G15" s="22">
        <f t="shared" si="12"/>
        <v>52.3</v>
      </c>
      <c r="H15" s="23">
        <f t="shared" si="7"/>
        <v>1003.663576</v>
      </c>
      <c r="I15" s="24">
        <f t="shared" si="8"/>
        <v>49.70967391</v>
      </c>
      <c r="J15" s="6"/>
      <c r="K15" s="6">
        <f t="shared" si="9"/>
        <v>0.9082724746</v>
      </c>
      <c r="L15" s="10"/>
    </row>
    <row r="16">
      <c r="A16" s="12">
        <f t="shared" si="1"/>
        <v>52.3</v>
      </c>
      <c r="B16" s="12"/>
      <c r="C16" s="12">
        <f t="shared" si="13"/>
        <v>5.463576159</v>
      </c>
      <c r="D16" s="6">
        <f t="shared" si="4"/>
        <v>86.6</v>
      </c>
      <c r="E16" s="12">
        <f>E$1*B$5/(E$1+B$5)</f>
        <v>5.463576159</v>
      </c>
      <c r="F16" s="6">
        <f t="shared" si="5"/>
        <v>86.6</v>
      </c>
      <c r="G16" s="22">
        <f t="shared" si="12"/>
        <v>52.3</v>
      </c>
      <c r="H16" s="23">
        <f t="shared" si="7"/>
        <v>184.1271523</v>
      </c>
      <c r="I16" s="23">
        <f t="shared" si="8"/>
        <v>40.73072814</v>
      </c>
      <c r="J16" s="6"/>
      <c r="K16" s="6">
        <f t="shared" si="9"/>
        <v>0.5</v>
      </c>
      <c r="L16" s="10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10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10"/>
    </row>
    <row r="19">
      <c r="A19" s="12" t="s">
        <v>6</v>
      </c>
      <c r="B19" s="12" t="s">
        <v>8</v>
      </c>
      <c r="C19" s="12" t="s">
        <v>11</v>
      </c>
      <c r="D19" s="12" t="s">
        <v>2</v>
      </c>
      <c r="E19" s="6"/>
      <c r="F19" s="4" t="s">
        <v>58</v>
      </c>
      <c r="G19" s="6"/>
      <c r="H19" s="6"/>
      <c r="I19" s="6"/>
      <c r="J19" s="6"/>
      <c r="K19" s="6"/>
      <c r="L19" s="10"/>
    </row>
    <row r="20">
      <c r="A20" s="21">
        <f t="shared" ref="A20:A21" si="14">E$3</f>
        <v>825</v>
      </c>
      <c r="B20" s="21">
        <f t="shared" ref="B20:B23" si="15">E$4</f>
        <v>86.6</v>
      </c>
      <c r="C20" s="21">
        <f>E$5</f>
        <v>825</v>
      </c>
      <c r="D20" s="21">
        <f t="shared" ref="D20:D23" si="16">H$1</f>
        <v>86.6</v>
      </c>
      <c r="E20" s="6"/>
      <c r="F20" s="6">
        <f t="shared" ref="F20:F23" si="17">1+SUM(C20:D20)/SUM(A20:B20)</f>
        <v>2</v>
      </c>
      <c r="G20" s="6"/>
      <c r="H20" s="6"/>
      <c r="I20" s="6"/>
      <c r="J20" s="6"/>
      <c r="K20" s="6"/>
      <c r="L20" s="10"/>
    </row>
    <row r="21">
      <c r="A21" s="21">
        <f t="shared" si="14"/>
        <v>825</v>
      </c>
      <c r="B21" s="21">
        <f t="shared" si="15"/>
        <v>86.6</v>
      </c>
      <c r="C21" s="21">
        <f>E$5*B$5/(E$5+B$5)</f>
        <v>5.463576159</v>
      </c>
      <c r="D21" s="21">
        <f t="shared" si="16"/>
        <v>86.6</v>
      </c>
      <c r="E21" s="6"/>
      <c r="F21" s="6">
        <f t="shared" si="17"/>
        <v>1.100991198</v>
      </c>
      <c r="G21" s="6"/>
      <c r="H21" s="6"/>
      <c r="I21" s="6"/>
      <c r="J21" s="6"/>
      <c r="K21" s="6"/>
      <c r="L21" s="10"/>
    </row>
    <row r="22">
      <c r="A22" s="21">
        <f t="shared" ref="A22:A23" si="18">E$3*B$5/(E$3+B$5)</f>
        <v>5.463576159</v>
      </c>
      <c r="B22" s="21">
        <f t="shared" si="15"/>
        <v>86.6</v>
      </c>
      <c r="C22" s="21">
        <f>E$5</f>
        <v>825</v>
      </c>
      <c r="D22" s="21">
        <f t="shared" si="16"/>
        <v>86.6</v>
      </c>
      <c r="E22" s="6"/>
      <c r="F22" s="6">
        <f t="shared" si="17"/>
        <v>10.90185302</v>
      </c>
      <c r="G22" s="6"/>
      <c r="H22" s="6"/>
      <c r="I22" s="6"/>
      <c r="J22" s="6"/>
      <c r="K22" s="6"/>
      <c r="L22" s="10"/>
    </row>
    <row r="23">
      <c r="A23" s="6">
        <f t="shared" si="18"/>
        <v>5.463576159</v>
      </c>
      <c r="B23" s="6">
        <f t="shared" si="15"/>
        <v>86.6</v>
      </c>
      <c r="C23" s="6">
        <f>E$5*B$5/(E$5+B$5)</f>
        <v>5.463576159</v>
      </c>
      <c r="D23" s="6">
        <f t="shared" si="16"/>
        <v>86.6</v>
      </c>
      <c r="E23" s="6"/>
      <c r="F23" s="6">
        <f t="shared" si="17"/>
        <v>2</v>
      </c>
      <c r="G23" s="6"/>
      <c r="H23" s="6"/>
      <c r="I23" s="6"/>
      <c r="J23" s="6"/>
      <c r="K23" s="6"/>
      <c r="L23" s="10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10"/>
    </row>
    <row r="25">
      <c r="A25" s="4" t="s">
        <v>61</v>
      </c>
      <c r="B25" s="6"/>
      <c r="C25" s="6"/>
      <c r="D25" s="6"/>
      <c r="E25" s="12" t="s">
        <v>62</v>
      </c>
      <c r="F25" s="6">
        <f>F28/F29</f>
        <v>1.333333333</v>
      </c>
      <c r="G25" s="6"/>
      <c r="H25" s="4" t="s">
        <v>63</v>
      </c>
      <c r="I25" s="35"/>
      <c r="J25" s="6"/>
      <c r="K25" s="6"/>
      <c r="L25" s="10"/>
    </row>
    <row r="26">
      <c r="A26" s="37">
        <f t="shared" ref="A26:A28" si="19">F$20*K9</f>
        <v>1</v>
      </c>
      <c r="B26" s="39">
        <f t="shared" ref="B26:B28" si="20">F$21*K9</f>
        <v>0.550495599</v>
      </c>
      <c r="C26" s="39">
        <f t="shared" ref="C26:C28" si="21">F$22*K9</f>
        <v>5.450926512</v>
      </c>
      <c r="D26" s="6"/>
      <c r="E26" s="12" t="s">
        <v>65</v>
      </c>
      <c r="F26" s="12">
        <v>1.34</v>
      </c>
      <c r="G26" s="6"/>
      <c r="H26" s="6">
        <f t="shared" ref="H26:H28" si="22">(F$26/(F$25*A26))/2</f>
        <v>0.5025</v>
      </c>
      <c r="I26" s="39">
        <f t="shared" ref="I26:I28" si="23">F$26/(F$25*B26)/2</f>
        <v>0.912813837</v>
      </c>
      <c r="J26" s="39">
        <f t="shared" ref="J26:J28" si="24">F$26/(F$25*C26)/2</f>
        <v>0.09218616301</v>
      </c>
      <c r="K26" s="6"/>
      <c r="L26" s="10"/>
    </row>
    <row r="27">
      <c r="A27" s="6">
        <f t="shared" si="19"/>
        <v>0.1834550508</v>
      </c>
      <c r="B27" s="41">
        <f t="shared" si="20"/>
        <v>0.1009911981</v>
      </c>
      <c r="C27" s="39">
        <f t="shared" si="21"/>
        <v>1</v>
      </c>
      <c r="D27" s="6"/>
      <c r="E27" s="6"/>
      <c r="F27" s="6"/>
      <c r="G27" s="6"/>
      <c r="H27" s="6">
        <f t="shared" si="22"/>
        <v>2.739090572</v>
      </c>
      <c r="I27" s="39">
        <f t="shared" si="23"/>
        <v>4.975681145</v>
      </c>
      <c r="J27" s="39">
        <f t="shared" si="24"/>
        <v>0.5025</v>
      </c>
      <c r="K27" s="6"/>
      <c r="L27" s="10"/>
    </row>
    <row r="28">
      <c r="A28" s="6">
        <f t="shared" si="19"/>
        <v>1.816544949</v>
      </c>
      <c r="B28" s="39">
        <f t="shared" si="20"/>
        <v>1</v>
      </c>
      <c r="C28" s="41">
        <f t="shared" si="21"/>
        <v>9.901853024</v>
      </c>
      <c r="D28" s="6"/>
      <c r="E28" s="42" t="s">
        <v>66</v>
      </c>
      <c r="F28" s="12">
        <v>340.0</v>
      </c>
      <c r="G28" s="6"/>
      <c r="H28" s="6">
        <f t="shared" si="22"/>
        <v>0.2766240385</v>
      </c>
      <c r="I28" s="39">
        <f t="shared" si="23"/>
        <v>0.5025</v>
      </c>
      <c r="J28" s="39">
        <f t="shared" si="24"/>
        <v>0.05074807703</v>
      </c>
      <c r="K28" s="6"/>
      <c r="L28" s="10"/>
    </row>
    <row r="29">
      <c r="A29" s="6"/>
      <c r="B29" s="6"/>
      <c r="C29" s="39"/>
      <c r="D29" s="6"/>
      <c r="E29" s="42" t="s">
        <v>67</v>
      </c>
      <c r="F29" s="12">
        <v>255.0</v>
      </c>
      <c r="G29" s="6"/>
      <c r="H29" s="6"/>
      <c r="I29" s="6"/>
      <c r="J29" s="6"/>
      <c r="K29" s="6"/>
      <c r="L29" s="10"/>
    </row>
    <row r="30">
      <c r="A30" s="6"/>
      <c r="B30" s="6"/>
      <c r="C30" s="39"/>
      <c r="D30" s="6"/>
      <c r="E30" s="6"/>
      <c r="F30" s="6"/>
      <c r="G30" s="6"/>
      <c r="H30" s="6"/>
      <c r="I30" s="6"/>
      <c r="J30" s="6"/>
      <c r="K30" s="6"/>
      <c r="L30" s="10"/>
    </row>
    <row r="31">
      <c r="A31" s="10"/>
      <c r="B31" s="44"/>
      <c r="C31" s="44"/>
      <c r="D31" s="10"/>
      <c r="E31" s="10"/>
      <c r="F31" s="10"/>
      <c r="G31" s="10"/>
      <c r="H31" s="10"/>
      <c r="I31" s="10"/>
      <c r="J31" s="10"/>
      <c r="K31" s="10"/>
      <c r="L31" s="10"/>
    </row>
    <row r="32">
      <c r="B32" s="46"/>
      <c r="H32" s="2" t="s">
        <v>70</v>
      </c>
      <c r="I32" s="2">
        <v>4.983573334</v>
      </c>
    </row>
    <row r="33">
      <c r="C33" s="46"/>
      <c r="H33" s="2" t="s">
        <v>71</v>
      </c>
      <c r="I33" s="2">
        <v>4.967800889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f>52.3+0*52.3</f>
        <v>52.3</v>
      </c>
      <c r="D1" s="1" t="s">
        <v>1</v>
      </c>
      <c r="E1" s="2">
        <f>825+0.001*825</f>
        <v>825.825</v>
      </c>
      <c r="F1" s="2"/>
      <c r="G1" s="1" t="s">
        <v>2</v>
      </c>
      <c r="H1" s="2">
        <f>86.6+0.001*86.6</f>
        <v>86.6866</v>
      </c>
    </row>
    <row r="2">
      <c r="A2" s="1" t="s">
        <v>3</v>
      </c>
      <c r="B2" s="2">
        <f>3010-0*3010</f>
        <v>3010</v>
      </c>
      <c r="D2" s="1" t="s">
        <v>4</v>
      </c>
      <c r="E2" s="2">
        <f>86.6+0.001*86.6</f>
        <v>86.6866</v>
      </c>
    </row>
    <row r="3">
      <c r="A3" s="1" t="s">
        <v>5</v>
      </c>
      <c r="B3" s="2">
        <f>825-0.001*825</f>
        <v>824.175</v>
      </c>
      <c r="D3" s="1" t="s">
        <v>6</v>
      </c>
      <c r="E3" s="2">
        <f>825-0.001*825</f>
        <v>824.175</v>
      </c>
    </row>
    <row r="4">
      <c r="A4" s="1" t="s">
        <v>7</v>
      </c>
      <c r="B4" s="2">
        <f>86.6-0.001*86.6</f>
        <v>86.5134</v>
      </c>
      <c r="D4" s="1" t="s">
        <v>8</v>
      </c>
      <c r="E4" s="2">
        <f>86.6-0.001*86.6</f>
        <v>86.5134</v>
      </c>
    </row>
    <row r="5">
      <c r="A5" s="1" t="s">
        <v>9</v>
      </c>
      <c r="B5" s="2">
        <v>5.5</v>
      </c>
      <c r="D5" s="1" t="s">
        <v>11</v>
      </c>
      <c r="E5" s="2">
        <f>825+0.001*825</f>
        <v>825.825</v>
      </c>
    </row>
    <row r="7">
      <c r="A7" s="4" t="s">
        <v>12</v>
      </c>
      <c r="B7" s="4"/>
      <c r="C7" s="6"/>
      <c r="D7" s="6"/>
      <c r="E7" s="6"/>
      <c r="F7" s="6"/>
      <c r="G7" s="8"/>
      <c r="H7" s="8"/>
      <c r="I7" s="8"/>
      <c r="J7" s="6"/>
      <c r="K7" s="4" t="s">
        <v>17</v>
      </c>
      <c r="L7" s="10"/>
    </row>
    <row r="8">
      <c r="A8" s="12" t="s">
        <v>19</v>
      </c>
      <c r="B8" s="12" t="s">
        <v>21</v>
      </c>
      <c r="C8" s="12" t="s">
        <v>5</v>
      </c>
      <c r="D8" s="12" t="s">
        <v>7</v>
      </c>
      <c r="E8" s="12" t="s">
        <v>1</v>
      </c>
      <c r="F8" s="12" t="s">
        <v>4</v>
      </c>
      <c r="G8" s="8" t="s">
        <v>22</v>
      </c>
      <c r="H8" s="8" t="s">
        <v>23</v>
      </c>
      <c r="I8" s="8" t="s">
        <v>24</v>
      </c>
      <c r="J8" s="6"/>
      <c r="K8" s="6"/>
      <c r="L8" s="10"/>
      <c r="M8" s="2"/>
      <c r="N8" s="2"/>
      <c r="O8" s="2"/>
      <c r="P8" s="2"/>
    </row>
    <row r="9">
      <c r="A9" s="18">
        <f t="shared" ref="A9:A16" si="1">B$1</f>
        <v>52.3</v>
      </c>
      <c r="B9" s="18">
        <f t="shared" ref="B9:B12" si="2">B$2+B$5</f>
        <v>3015.5</v>
      </c>
      <c r="C9" s="18">
        <f t="shared" ref="C9:C10" si="3">B$3</f>
        <v>824.175</v>
      </c>
      <c r="D9" s="21">
        <f t="shared" ref="D9:D16" si="4">B$4</f>
        <v>86.5134</v>
      </c>
      <c r="E9" s="21">
        <f>E$1</f>
        <v>825.825</v>
      </c>
      <c r="F9" s="21">
        <f t="shared" ref="F9:F16" si="5">E$2</f>
        <v>86.6866</v>
      </c>
      <c r="G9" s="22">
        <f t="shared" ref="G9:G12" si="6">A9*B9/(A9+B9)</f>
        <v>51.40838712</v>
      </c>
      <c r="H9" s="23">
        <f t="shared" ref="H9:H16" si="7">SUM(C9:F9)</f>
        <v>1823.2</v>
      </c>
      <c r="I9" s="24">
        <f t="shared" ref="I9:I16" si="8">G9*H9/(G9+H9)</f>
        <v>49.99858746</v>
      </c>
      <c r="J9" s="6"/>
      <c r="K9" s="6">
        <f t="shared" ref="K9:K16" si="9">SUM(E9:F9)/(SUM(C9:F9))</f>
        <v>0.5005</v>
      </c>
      <c r="L9" s="10"/>
    </row>
    <row r="10">
      <c r="A10" s="12">
        <f t="shared" si="1"/>
        <v>52.3</v>
      </c>
      <c r="B10" s="12">
        <f t="shared" si="2"/>
        <v>3015.5</v>
      </c>
      <c r="C10" s="12">
        <f t="shared" si="3"/>
        <v>824.175</v>
      </c>
      <c r="D10" s="6">
        <f t="shared" si="4"/>
        <v>86.5134</v>
      </c>
      <c r="E10" s="12">
        <f>E$1*B$5/(E$1+B$5)</f>
        <v>5.463612306</v>
      </c>
      <c r="F10" s="6">
        <f t="shared" si="5"/>
        <v>86.6866</v>
      </c>
      <c r="G10" s="22">
        <f t="shared" si="6"/>
        <v>51.40838712</v>
      </c>
      <c r="H10" s="23">
        <f t="shared" si="7"/>
        <v>1002.838612</v>
      </c>
      <c r="I10" s="23">
        <f t="shared" si="8"/>
        <v>48.90155308</v>
      </c>
      <c r="J10" s="6"/>
      <c r="K10" s="6">
        <f t="shared" si="9"/>
        <v>0.091889374</v>
      </c>
      <c r="L10" s="10"/>
    </row>
    <row r="11">
      <c r="A11" s="12">
        <f t="shared" si="1"/>
        <v>52.3</v>
      </c>
      <c r="B11" s="12">
        <f t="shared" si="2"/>
        <v>3015.5</v>
      </c>
      <c r="C11" s="12">
        <f t="shared" ref="C11:C12" si="10">B$3*B$5/(B$3+B$5)</f>
        <v>5.46353994</v>
      </c>
      <c r="D11" s="6">
        <f t="shared" si="4"/>
        <v>86.5134</v>
      </c>
      <c r="E11" s="6">
        <f>E$1</f>
        <v>825.825</v>
      </c>
      <c r="F11" s="6">
        <f t="shared" si="5"/>
        <v>86.6866</v>
      </c>
      <c r="G11" s="22">
        <f t="shared" si="6"/>
        <v>51.40838712</v>
      </c>
      <c r="H11" s="23">
        <f t="shared" si="7"/>
        <v>1004.48854</v>
      </c>
      <c r="I11" s="23">
        <f t="shared" si="8"/>
        <v>48.90547022</v>
      </c>
      <c r="J11" s="6"/>
      <c r="K11" s="6">
        <f t="shared" si="9"/>
        <v>0.9084340574</v>
      </c>
      <c r="L11" s="10"/>
    </row>
    <row r="12">
      <c r="A12" s="12">
        <f t="shared" si="1"/>
        <v>52.3</v>
      </c>
      <c r="B12" s="12">
        <f t="shared" si="2"/>
        <v>3015.5</v>
      </c>
      <c r="C12" s="12">
        <f t="shared" si="10"/>
        <v>5.46353994</v>
      </c>
      <c r="D12" s="6">
        <f t="shared" si="4"/>
        <v>86.5134</v>
      </c>
      <c r="E12" s="12">
        <f>E$1*B$5/(E$1+B$5)</f>
        <v>5.463612306</v>
      </c>
      <c r="F12" s="6">
        <f t="shared" si="5"/>
        <v>86.6866</v>
      </c>
      <c r="G12" s="22">
        <f t="shared" si="6"/>
        <v>51.40838712</v>
      </c>
      <c r="H12" s="23">
        <f t="shared" si="7"/>
        <v>184.1271522</v>
      </c>
      <c r="I12" s="23">
        <f t="shared" si="8"/>
        <v>40.18790518</v>
      </c>
      <c r="J12" s="6"/>
      <c r="K12" s="6">
        <f t="shared" si="9"/>
        <v>0.5004705237</v>
      </c>
      <c r="L12" s="10"/>
    </row>
    <row r="13">
      <c r="A13" s="12">
        <f t="shared" si="1"/>
        <v>52.3</v>
      </c>
      <c r="B13" s="12"/>
      <c r="C13" s="12">
        <f t="shared" ref="C13:C14" si="11">B$3</f>
        <v>824.175</v>
      </c>
      <c r="D13" s="6">
        <f t="shared" si="4"/>
        <v>86.5134</v>
      </c>
      <c r="E13" s="6">
        <f>E$1</f>
        <v>825.825</v>
      </c>
      <c r="F13" s="6">
        <f t="shared" si="5"/>
        <v>86.6866</v>
      </c>
      <c r="G13" s="22">
        <f t="shared" ref="G13:G16" si="12">A13</f>
        <v>52.3</v>
      </c>
      <c r="H13" s="23">
        <f t="shared" si="7"/>
        <v>1823.2</v>
      </c>
      <c r="I13" s="23">
        <f t="shared" si="8"/>
        <v>50.84156758</v>
      </c>
      <c r="J13" s="12" t="s">
        <v>55</v>
      </c>
      <c r="K13" s="6">
        <f t="shared" si="9"/>
        <v>0.5005</v>
      </c>
      <c r="L13" s="10"/>
    </row>
    <row r="14">
      <c r="A14" s="18">
        <f t="shared" si="1"/>
        <v>52.3</v>
      </c>
      <c r="B14" s="18"/>
      <c r="C14" s="18">
        <f t="shared" si="11"/>
        <v>824.175</v>
      </c>
      <c r="D14" s="21">
        <f t="shared" si="4"/>
        <v>86.5134</v>
      </c>
      <c r="E14" s="18">
        <f>E$1*B$5/(E$1+B$5)</f>
        <v>5.463612306</v>
      </c>
      <c r="F14" s="21">
        <f t="shared" si="5"/>
        <v>86.6866</v>
      </c>
      <c r="G14" s="22">
        <f t="shared" si="12"/>
        <v>52.3</v>
      </c>
      <c r="H14" s="23">
        <f t="shared" si="7"/>
        <v>1002.838612</v>
      </c>
      <c r="I14" s="24">
        <f t="shared" si="8"/>
        <v>49.70764866</v>
      </c>
      <c r="J14" s="6"/>
      <c r="K14" s="6">
        <f t="shared" si="9"/>
        <v>0.091889374</v>
      </c>
      <c r="L14" s="10"/>
    </row>
    <row r="15">
      <c r="A15" s="18">
        <f t="shared" si="1"/>
        <v>52.3</v>
      </c>
      <c r="B15" s="18"/>
      <c r="C15" s="18">
        <f t="shared" ref="C15:C16" si="13">B$3*B$5/(B$3+B$5)</f>
        <v>5.46353994</v>
      </c>
      <c r="D15" s="21">
        <f t="shared" si="4"/>
        <v>86.5134</v>
      </c>
      <c r="E15" s="21">
        <f>E$1</f>
        <v>825.825</v>
      </c>
      <c r="F15" s="21">
        <f t="shared" si="5"/>
        <v>86.6866</v>
      </c>
      <c r="G15" s="22">
        <f t="shared" si="12"/>
        <v>52.3</v>
      </c>
      <c r="H15" s="23">
        <f t="shared" si="7"/>
        <v>1004.48854</v>
      </c>
      <c r="I15" s="24">
        <f t="shared" si="8"/>
        <v>49.711696</v>
      </c>
      <c r="J15" s="6"/>
      <c r="K15" s="6">
        <f t="shared" si="9"/>
        <v>0.9084340574</v>
      </c>
      <c r="L15" s="10"/>
    </row>
    <row r="16">
      <c r="A16" s="12">
        <f t="shared" si="1"/>
        <v>52.3</v>
      </c>
      <c r="B16" s="12"/>
      <c r="C16" s="12">
        <f t="shared" si="13"/>
        <v>5.46353994</v>
      </c>
      <c r="D16" s="6">
        <f t="shared" si="4"/>
        <v>86.5134</v>
      </c>
      <c r="E16" s="12">
        <f>E$1*B$5/(E$1+B$5)</f>
        <v>5.463612306</v>
      </c>
      <c r="F16" s="6">
        <f t="shared" si="5"/>
        <v>86.6866</v>
      </c>
      <c r="G16" s="22">
        <f t="shared" si="12"/>
        <v>52.3</v>
      </c>
      <c r="H16" s="23">
        <f t="shared" si="7"/>
        <v>184.1271522</v>
      </c>
      <c r="I16" s="23">
        <f t="shared" si="8"/>
        <v>40.73072814</v>
      </c>
      <c r="J16" s="6"/>
      <c r="K16" s="6">
        <f t="shared" si="9"/>
        <v>0.5004705237</v>
      </c>
      <c r="L16" s="10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10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10"/>
    </row>
    <row r="19">
      <c r="A19" s="12" t="s">
        <v>6</v>
      </c>
      <c r="B19" s="12" t="s">
        <v>8</v>
      </c>
      <c r="C19" s="12" t="s">
        <v>11</v>
      </c>
      <c r="D19" s="12" t="s">
        <v>2</v>
      </c>
      <c r="E19" s="6"/>
      <c r="F19" s="4" t="s">
        <v>58</v>
      </c>
      <c r="G19" s="6"/>
      <c r="H19" s="6"/>
      <c r="I19" s="6"/>
      <c r="J19" s="6"/>
      <c r="K19" s="6"/>
      <c r="L19" s="10"/>
    </row>
    <row r="20">
      <c r="A20" s="21">
        <f t="shared" ref="A20:A21" si="14">E$3</f>
        <v>824.175</v>
      </c>
      <c r="B20" s="21">
        <f t="shared" ref="B20:B23" si="15">E$4</f>
        <v>86.5134</v>
      </c>
      <c r="C20" s="21">
        <f>E$5</f>
        <v>825.825</v>
      </c>
      <c r="D20" s="21">
        <f t="shared" ref="D20:D23" si="16">H$1</f>
        <v>86.6866</v>
      </c>
      <c r="E20" s="6"/>
      <c r="F20" s="6">
        <f t="shared" ref="F20:F23" si="17">1+SUM(C20:D20)/SUM(A20:B20)</f>
        <v>2.002002002</v>
      </c>
      <c r="G20" s="6"/>
      <c r="H20" s="6"/>
      <c r="I20" s="6"/>
      <c r="J20" s="6"/>
      <c r="K20" s="6"/>
      <c r="L20" s="10"/>
    </row>
    <row r="21">
      <c r="A21" s="21">
        <f t="shared" si="14"/>
        <v>824.175</v>
      </c>
      <c r="B21" s="21">
        <f t="shared" si="15"/>
        <v>86.5134</v>
      </c>
      <c r="C21" s="21">
        <f>E$5*B$5/(E$5+B$5)</f>
        <v>5.463612306</v>
      </c>
      <c r="D21" s="21">
        <f t="shared" si="16"/>
        <v>86.6866</v>
      </c>
      <c r="E21" s="6"/>
      <c r="F21" s="6">
        <f t="shared" si="17"/>
        <v>1.101187423</v>
      </c>
      <c r="G21" s="6"/>
      <c r="H21" s="6"/>
      <c r="I21" s="6"/>
      <c r="J21" s="6"/>
      <c r="K21" s="6"/>
      <c r="L21" s="10"/>
    </row>
    <row r="22">
      <c r="A22" s="21">
        <f t="shared" ref="A22:A23" si="18">E$3*B$5/(E$3+B$5)</f>
        <v>5.46353994</v>
      </c>
      <c r="B22" s="21">
        <f t="shared" si="15"/>
        <v>86.5134</v>
      </c>
      <c r="C22" s="21">
        <f>E$5</f>
        <v>825.825</v>
      </c>
      <c r="D22" s="21">
        <f t="shared" si="16"/>
        <v>86.6866</v>
      </c>
      <c r="E22" s="6"/>
      <c r="F22" s="6">
        <f t="shared" si="17"/>
        <v>10.9210911</v>
      </c>
      <c r="G22" s="6"/>
      <c r="H22" s="6"/>
      <c r="I22" s="6"/>
      <c r="J22" s="6"/>
      <c r="K22" s="6"/>
      <c r="L22" s="10"/>
    </row>
    <row r="23">
      <c r="A23" s="6">
        <f t="shared" si="18"/>
        <v>5.46353994</v>
      </c>
      <c r="B23" s="6">
        <f t="shared" si="15"/>
        <v>86.5134</v>
      </c>
      <c r="C23" s="6">
        <f>E$5*B$5/(E$5+B$5)</f>
        <v>5.463612306</v>
      </c>
      <c r="D23" s="6">
        <f t="shared" si="16"/>
        <v>86.6866</v>
      </c>
      <c r="E23" s="6"/>
      <c r="F23" s="6">
        <f t="shared" si="17"/>
        <v>2.001883867</v>
      </c>
      <c r="G23" s="6"/>
      <c r="H23" s="6"/>
      <c r="I23" s="6"/>
      <c r="J23" s="6"/>
      <c r="K23" s="6"/>
      <c r="L23" s="10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10"/>
    </row>
    <row r="25">
      <c r="A25" s="4" t="s">
        <v>61</v>
      </c>
      <c r="B25" s="6"/>
      <c r="C25" s="6"/>
      <c r="D25" s="6"/>
      <c r="E25" s="12" t="s">
        <v>62</v>
      </c>
      <c r="F25" s="6">
        <f>F28/F29</f>
        <v>1.336002669</v>
      </c>
      <c r="G25" s="6"/>
      <c r="H25" s="4" t="s">
        <v>63</v>
      </c>
      <c r="I25" s="35"/>
      <c r="J25" s="6"/>
      <c r="K25" s="6"/>
      <c r="L25" s="10"/>
    </row>
    <row r="26">
      <c r="A26" s="37">
        <f t="shared" ref="A26:A28" si="19">F$20*K9</f>
        <v>1.002002002</v>
      </c>
      <c r="B26" s="39">
        <f t="shared" ref="B26:B28" si="20">F$21*K9</f>
        <v>0.5511443052</v>
      </c>
      <c r="C26" s="39">
        <f t="shared" ref="C26:C28" si="21">F$22*K9</f>
        <v>5.466006094</v>
      </c>
      <c r="D26" s="6"/>
      <c r="E26" s="12" t="s">
        <v>65</v>
      </c>
      <c r="F26" s="12">
        <v>1.34</v>
      </c>
      <c r="G26" s="6"/>
      <c r="H26" s="37">
        <f t="shared" ref="H26:H28" si="22">(F$26/(F$25*A26))/2</f>
        <v>0.500494014</v>
      </c>
      <c r="I26" s="39">
        <f t="shared" ref="I26:I28" si="23">F$26/(F$25*B26)/2</f>
        <v>0.9099177825</v>
      </c>
      <c r="J26" s="39">
        <f t="shared" ref="J26:J28" si="24">F$26/(F$25*C26)/2</f>
        <v>0.09174816042</v>
      </c>
      <c r="K26" s="6"/>
      <c r="L26" s="10"/>
    </row>
    <row r="27">
      <c r="A27" s="6">
        <f t="shared" si="19"/>
        <v>0.1839627107</v>
      </c>
      <c r="B27" s="41">
        <f t="shared" si="20"/>
        <v>0.1011874229</v>
      </c>
      <c r="C27" s="39">
        <f t="shared" si="21"/>
        <v>1.003532224</v>
      </c>
      <c r="D27" s="6"/>
      <c r="E27" s="6"/>
      <c r="F27" s="6"/>
      <c r="G27" s="6"/>
      <c r="H27" s="6">
        <f t="shared" si="22"/>
        <v>2.726074225</v>
      </c>
      <c r="I27" s="41">
        <f t="shared" si="23"/>
        <v>4.956110052</v>
      </c>
      <c r="J27" s="39">
        <f t="shared" si="24"/>
        <v>0.4997308426</v>
      </c>
      <c r="K27" s="6"/>
      <c r="L27" s="10"/>
    </row>
    <row r="28">
      <c r="A28" s="6">
        <f t="shared" si="19"/>
        <v>1.818686802</v>
      </c>
      <c r="B28" s="39">
        <f t="shared" si="20"/>
        <v>1.000356159</v>
      </c>
      <c r="C28" s="41">
        <f t="shared" si="21"/>
        <v>9.921091097</v>
      </c>
      <c r="D28" s="6"/>
      <c r="E28" s="42" t="s">
        <v>66</v>
      </c>
      <c r="F28" s="12">
        <f>340+0.001*340</f>
        <v>340.34</v>
      </c>
      <c r="G28" s="6"/>
      <c r="H28" s="6">
        <f t="shared" si="22"/>
        <v>0.2757462162</v>
      </c>
      <c r="I28" s="39">
        <f t="shared" si="23"/>
        <v>0.5013174555</v>
      </c>
      <c r="J28" s="41">
        <f t="shared" si="24"/>
        <v>0.05054847285</v>
      </c>
      <c r="K28" s="6"/>
      <c r="L28" s="10"/>
    </row>
    <row r="29">
      <c r="A29" s="6"/>
      <c r="B29" s="6"/>
      <c r="C29" s="39"/>
      <c r="D29" s="6"/>
      <c r="E29" s="42" t="s">
        <v>67</v>
      </c>
      <c r="F29" s="12">
        <f>255-0.001*255</f>
        <v>254.745</v>
      </c>
      <c r="G29" s="6"/>
      <c r="H29" s="6"/>
      <c r="I29" s="6"/>
      <c r="J29" s="6"/>
      <c r="K29" s="6"/>
      <c r="L29" s="10"/>
    </row>
    <row r="30">
      <c r="A30" s="6"/>
      <c r="B30" s="6"/>
      <c r="C30" s="39"/>
      <c r="D30" s="6"/>
      <c r="E30" s="6"/>
      <c r="F30" s="6"/>
      <c r="G30" s="6"/>
      <c r="H30" s="6"/>
      <c r="I30" s="6"/>
      <c r="J30" s="6"/>
      <c r="K30" s="6"/>
      <c r="L30" s="10"/>
    </row>
    <row r="31">
      <c r="A31" s="10"/>
      <c r="B31" s="44"/>
      <c r="C31" s="44"/>
      <c r="D31" s="10"/>
      <c r="E31" s="10"/>
      <c r="F31" s="10"/>
      <c r="G31" s="10"/>
      <c r="H31" s="10"/>
      <c r="I31" s="10"/>
      <c r="J31" s="10"/>
      <c r="K31" s="10"/>
      <c r="L31" s="10"/>
    </row>
    <row r="32">
      <c r="B32" s="46"/>
      <c r="H32" s="2" t="s">
        <v>70</v>
      </c>
      <c r="I32" s="2">
        <v>4.983573334</v>
      </c>
    </row>
    <row r="33">
      <c r="C33" s="46"/>
      <c r="H33" s="2" t="s">
        <v>71</v>
      </c>
      <c r="I33" s="2">
        <v>4.967800889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>
        <f>52.3+0*52.3</f>
        <v>52.3</v>
      </c>
      <c r="D1" s="1" t="s">
        <v>1</v>
      </c>
      <c r="E1" s="2">
        <f>825-0.001*825</f>
        <v>824.175</v>
      </c>
      <c r="F1" s="2"/>
      <c r="G1" s="1" t="s">
        <v>2</v>
      </c>
      <c r="H1" s="2">
        <f>86.6-0.001*86.6</f>
        <v>86.5134</v>
      </c>
    </row>
    <row r="2">
      <c r="A2" s="1" t="s">
        <v>3</v>
      </c>
      <c r="B2" s="2">
        <f>3010-0*3010</f>
        <v>3010</v>
      </c>
      <c r="D2" s="1" t="s">
        <v>4</v>
      </c>
      <c r="E2" s="2">
        <f>86.6-0.001*86.6</f>
        <v>86.5134</v>
      </c>
    </row>
    <row r="3">
      <c r="A3" s="1" t="s">
        <v>5</v>
      </c>
      <c r="B3" s="2">
        <f>825+0.001*825</f>
        <v>825.825</v>
      </c>
      <c r="D3" s="1" t="s">
        <v>6</v>
      </c>
      <c r="E3" s="2">
        <f>825+0.001*825</f>
        <v>825.825</v>
      </c>
    </row>
    <row r="4">
      <c r="A4" s="1" t="s">
        <v>7</v>
      </c>
      <c r="B4" s="2">
        <f>86.6+0.001*86.6</f>
        <v>86.6866</v>
      </c>
      <c r="D4" s="1" t="s">
        <v>8</v>
      </c>
      <c r="E4" s="2">
        <f>86.6+0.001*86.6</f>
        <v>86.6866</v>
      </c>
    </row>
    <row r="5">
      <c r="A5" s="1" t="s">
        <v>9</v>
      </c>
      <c r="B5" s="2">
        <v>5.5</v>
      </c>
      <c r="D5" s="1" t="s">
        <v>11</v>
      </c>
      <c r="E5" s="2">
        <f>825-0.001*825</f>
        <v>824.175</v>
      </c>
    </row>
    <row r="7">
      <c r="A7" s="4" t="s">
        <v>12</v>
      </c>
      <c r="B7" s="4"/>
      <c r="C7" s="6"/>
      <c r="D7" s="6"/>
      <c r="E7" s="6"/>
      <c r="F7" s="6"/>
      <c r="G7" s="8"/>
      <c r="H7" s="8"/>
      <c r="I7" s="8"/>
      <c r="J7" s="6"/>
      <c r="K7" s="4" t="s">
        <v>17</v>
      </c>
      <c r="L7" s="10"/>
    </row>
    <row r="8">
      <c r="A8" s="12" t="s">
        <v>19</v>
      </c>
      <c r="B8" s="12" t="s">
        <v>21</v>
      </c>
      <c r="C8" s="12" t="s">
        <v>5</v>
      </c>
      <c r="D8" s="12" t="s">
        <v>7</v>
      </c>
      <c r="E8" s="12" t="s">
        <v>1</v>
      </c>
      <c r="F8" s="12" t="s">
        <v>4</v>
      </c>
      <c r="G8" s="8" t="s">
        <v>22</v>
      </c>
      <c r="H8" s="8" t="s">
        <v>23</v>
      </c>
      <c r="I8" s="8" t="s">
        <v>24</v>
      </c>
      <c r="J8" s="6"/>
      <c r="K8" s="6"/>
      <c r="L8" s="10"/>
      <c r="M8" s="2"/>
      <c r="N8" s="2"/>
      <c r="O8" s="2"/>
      <c r="P8" s="2"/>
    </row>
    <row r="9">
      <c r="A9" s="18">
        <f t="shared" ref="A9:A16" si="1">B$1</f>
        <v>52.3</v>
      </c>
      <c r="B9" s="18">
        <f t="shared" ref="B9:B12" si="2">B$2+B$5</f>
        <v>3015.5</v>
      </c>
      <c r="C9" s="18">
        <f t="shared" ref="C9:C10" si="3">B$3</f>
        <v>825.825</v>
      </c>
      <c r="D9" s="21">
        <f t="shared" ref="D9:D16" si="4">B$4</f>
        <v>86.6866</v>
      </c>
      <c r="E9" s="21">
        <f>E$1</f>
        <v>824.175</v>
      </c>
      <c r="F9" s="21">
        <f t="shared" ref="F9:F16" si="5">E$2</f>
        <v>86.5134</v>
      </c>
      <c r="G9" s="22">
        <f t="shared" ref="G9:G12" si="6">A9*B9/(A9+B9)</f>
        <v>51.40838712</v>
      </c>
      <c r="H9" s="23">
        <f t="shared" ref="H9:H16" si="7">SUM(C9:F9)</f>
        <v>1823.2</v>
      </c>
      <c r="I9" s="24">
        <f t="shared" ref="I9:I16" si="8">G9*H9/(G9+H9)</f>
        <v>49.99858746</v>
      </c>
      <c r="J9" s="6"/>
      <c r="K9" s="6">
        <f t="shared" ref="K9:K16" si="9">SUM(E9:F9)/(SUM(C9:F9))</f>
        <v>0.4995</v>
      </c>
      <c r="L9" s="10"/>
    </row>
    <row r="10">
      <c r="A10" s="12">
        <f t="shared" si="1"/>
        <v>52.3</v>
      </c>
      <c r="B10" s="12">
        <f t="shared" si="2"/>
        <v>3015.5</v>
      </c>
      <c r="C10" s="12">
        <f t="shared" si="3"/>
        <v>825.825</v>
      </c>
      <c r="D10" s="6">
        <f t="shared" si="4"/>
        <v>86.6866</v>
      </c>
      <c r="E10" s="12">
        <f>E$1*B$5/(E$1+B$5)</f>
        <v>5.46353994</v>
      </c>
      <c r="F10" s="6">
        <f t="shared" si="5"/>
        <v>86.5134</v>
      </c>
      <c r="G10" s="22">
        <f t="shared" si="6"/>
        <v>51.40838712</v>
      </c>
      <c r="H10" s="23">
        <f t="shared" si="7"/>
        <v>1004.48854</v>
      </c>
      <c r="I10" s="23">
        <f t="shared" si="8"/>
        <v>48.90547022</v>
      </c>
      <c r="J10" s="6"/>
      <c r="K10" s="6">
        <f t="shared" si="9"/>
        <v>0.09156594255</v>
      </c>
      <c r="L10" s="10"/>
    </row>
    <row r="11">
      <c r="A11" s="12">
        <f t="shared" si="1"/>
        <v>52.3</v>
      </c>
      <c r="B11" s="12">
        <f t="shared" si="2"/>
        <v>3015.5</v>
      </c>
      <c r="C11" s="12">
        <f t="shared" ref="C11:C12" si="10">B$3*B$5/(B$3+B$5)</f>
        <v>5.463612306</v>
      </c>
      <c r="D11" s="6">
        <f t="shared" si="4"/>
        <v>86.6866</v>
      </c>
      <c r="E11" s="6">
        <f>E$1</f>
        <v>824.175</v>
      </c>
      <c r="F11" s="6">
        <f t="shared" si="5"/>
        <v>86.5134</v>
      </c>
      <c r="G11" s="22">
        <f t="shared" si="6"/>
        <v>51.40838712</v>
      </c>
      <c r="H11" s="23">
        <f t="shared" si="7"/>
        <v>1002.838612</v>
      </c>
      <c r="I11" s="23">
        <f t="shared" si="8"/>
        <v>48.90155308</v>
      </c>
      <c r="J11" s="6"/>
      <c r="K11" s="6">
        <f t="shared" si="9"/>
        <v>0.908110626</v>
      </c>
      <c r="L11" s="10"/>
    </row>
    <row r="12">
      <c r="A12" s="12">
        <f t="shared" si="1"/>
        <v>52.3</v>
      </c>
      <c r="B12" s="12">
        <f t="shared" si="2"/>
        <v>3015.5</v>
      </c>
      <c r="C12" s="12">
        <f t="shared" si="10"/>
        <v>5.463612306</v>
      </c>
      <c r="D12" s="6">
        <f t="shared" si="4"/>
        <v>86.6866</v>
      </c>
      <c r="E12" s="12">
        <f>E$1*B$5/(E$1+B$5)</f>
        <v>5.46353994</v>
      </c>
      <c r="F12" s="6">
        <f t="shared" si="5"/>
        <v>86.5134</v>
      </c>
      <c r="G12" s="22">
        <f t="shared" si="6"/>
        <v>51.40838712</v>
      </c>
      <c r="H12" s="23">
        <f t="shared" si="7"/>
        <v>184.1271522</v>
      </c>
      <c r="I12" s="23">
        <f t="shared" si="8"/>
        <v>40.18790518</v>
      </c>
      <c r="J12" s="6"/>
      <c r="K12" s="6">
        <f t="shared" si="9"/>
        <v>0.4995294763</v>
      </c>
      <c r="L12" s="10"/>
    </row>
    <row r="13">
      <c r="A13" s="12">
        <f t="shared" si="1"/>
        <v>52.3</v>
      </c>
      <c r="B13" s="12"/>
      <c r="C13" s="12">
        <f t="shared" ref="C13:C14" si="11">B$3</f>
        <v>825.825</v>
      </c>
      <c r="D13" s="6">
        <f t="shared" si="4"/>
        <v>86.6866</v>
      </c>
      <c r="E13" s="6">
        <f>E$1</f>
        <v>824.175</v>
      </c>
      <c r="F13" s="6">
        <f t="shared" si="5"/>
        <v>86.5134</v>
      </c>
      <c r="G13" s="22">
        <f t="shared" ref="G13:G16" si="12">A13</f>
        <v>52.3</v>
      </c>
      <c r="H13" s="23">
        <f t="shared" si="7"/>
        <v>1823.2</v>
      </c>
      <c r="I13" s="23">
        <f t="shared" si="8"/>
        <v>50.84156758</v>
      </c>
      <c r="J13" s="12" t="s">
        <v>55</v>
      </c>
      <c r="K13" s="6">
        <f t="shared" si="9"/>
        <v>0.4995</v>
      </c>
      <c r="L13" s="10"/>
    </row>
    <row r="14">
      <c r="A14" s="18">
        <f t="shared" si="1"/>
        <v>52.3</v>
      </c>
      <c r="B14" s="18"/>
      <c r="C14" s="18">
        <f t="shared" si="11"/>
        <v>825.825</v>
      </c>
      <c r="D14" s="21">
        <f t="shared" si="4"/>
        <v>86.6866</v>
      </c>
      <c r="E14" s="18">
        <f>E$1*B$5/(E$1+B$5)</f>
        <v>5.46353994</v>
      </c>
      <c r="F14" s="21">
        <f t="shared" si="5"/>
        <v>86.5134</v>
      </c>
      <c r="G14" s="22">
        <f t="shared" si="12"/>
        <v>52.3</v>
      </c>
      <c r="H14" s="23">
        <f t="shared" si="7"/>
        <v>1004.48854</v>
      </c>
      <c r="I14" s="24">
        <f t="shared" si="8"/>
        <v>49.711696</v>
      </c>
      <c r="J14" s="6"/>
      <c r="K14" s="6">
        <f t="shared" si="9"/>
        <v>0.09156594255</v>
      </c>
      <c r="L14" s="10"/>
    </row>
    <row r="15">
      <c r="A15" s="18">
        <f t="shared" si="1"/>
        <v>52.3</v>
      </c>
      <c r="B15" s="18"/>
      <c r="C15" s="18">
        <f t="shared" ref="C15:C16" si="13">B$3*B$5/(B$3+B$5)</f>
        <v>5.463612306</v>
      </c>
      <c r="D15" s="21">
        <f t="shared" si="4"/>
        <v>86.6866</v>
      </c>
      <c r="E15" s="21">
        <f>E$1</f>
        <v>824.175</v>
      </c>
      <c r="F15" s="21">
        <f t="shared" si="5"/>
        <v>86.5134</v>
      </c>
      <c r="G15" s="22">
        <f t="shared" si="12"/>
        <v>52.3</v>
      </c>
      <c r="H15" s="23">
        <f t="shared" si="7"/>
        <v>1002.838612</v>
      </c>
      <c r="I15" s="24">
        <f t="shared" si="8"/>
        <v>49.70764866</v>
      </c>
      <c r="J15" s="6"/>
      <c r="K15" s="6">
        <f t="shared" si="9"/>
        <v>0.908110626</v>
      </c>
      <c r="L15" s="10"/>
    </row>
    <row r="16">
      <c r="A16" s="12">
        <f t="shared" si="1"/>
        <v>52.3</v>
      </c>
      <c r="B16" s="12"/>
      <c r="C16" s="12">
        <f t="shared" si="13"/>
        <v>5.463612306</v>
      </c>
      <c r="D16" s="6">
        <f t="shared" si="4"/>
        <v>86.6866</v>
      </c>
      <c r="E16" s="12">
        <f>E$1*B$5/(E$1+B$5)</f>
        <v>5.46353994</v>
      </c>
      <c r="F16" s="6">
        <f t="shared" si="5"/>
        <v>86.5134</v>
      </c>
      <c r="G16" s="22">
        <f t="shared" si="12"/>
        <v>52.3</v>
      </c>
      <c r="H16" s="23">
        <f t="shared" si="7"/>
        <v>184.1271522</v>
      </c>
      <c r="I16" s="23">
        <f t="shared" si="8"/>
        <v>40.73072814</v>
      </c>
      <c r="J16" s="6"/>
      <c r="K16" s="6">
        <f t="shared" si="9"/>
        <v>0.4995294763</v>
      </c>
      <c r="L16" s="10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10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10"/>
    </row>
    <row r="19">
      <c r="A19" s="12" t="s">
        <v>6</v>
      </c>
      <c r="B19" s="12" t="s">
        <v>8</v>
      </c>
      <c r="C19" s="12" t="s">
        <v>11</v>
      </c>
      <c r="D19" s="12" t="s">
        <v>2</v>
      </c>
      <c r="E19" s="6"/>
      <c r="F19" s="4" t="s">
        <v>58</v>
      </c>
      <c r="G19" s="6"/>
      <c r="H19" s="6"/>
      <c r="I19" s="6"/>
      <c r="J19" s="6"/>
      <c r="K19" s="6"/>
      <c r="L19" s="10"/>
    </row>
    <row r="20">
      <c r="A20" s="21">
        <f t="shared" ref="A20:A21" si="14">E$3</f>
        <v>825.825</v>
      </c>
      <c r="B20" s="21">
        <f t="shared" ref="B20:B23" si="15">E$4</f>
        <v>86.6866</v>
      </c>
      <c r="C20" s="21">
        <f>E$5</f>
        <v>824.175</v>
      </c>
      <c r="D20" s="21">
        <f t="shared" ref="D20:D23" si="16">H$1</f>
        <v>86.5134</v>
      </c>
      <c r="E20" s="6"/>
      <c r="F20" s="6">
        <f t="shared" ref="F20:F23" si="17">1+SUM(C20:D20)/SUM(A20:B20)</f>
        <v>1.998001998</v>
      </c>
      <c r="G20" s="6"/>
      <c r="H20" s="6"/>
      <c r="I20" s="6"/>
      <c r="J20" s="6"/>
      <c r="K20" s="6"/>
      <c r="L20" s="10"/>
    </row>
    <row r="21">
      <c r="A21" s="21">
        <f t="shared" si="14"/>
        <v>825.825</v>
      </c>
      <c r="B21" s="21">
        <f t="shared" si="15"/>
        <v>86.6866</v>
      </c>
      <c r="C21" s="21">
        <f>E$5*B$5/(E$5+B$5)</f>
        <v>5.46353994</v>
      </c>
      <c r="D21" s="21">
        <f t="shared" si="16"/>
        <v>86.5134</v>
      </c>
      <c r="E21" s="6"/>
      <c r="F21" s="6">
        <f t="shared" si="17"/>
        <v>1.100795365</v>
      </c>
      <c r="G21" s="6"/>
      <c r="H21" s="6"/>
      <c r="I21" s="6"/>
      <c r="J21" s="6"/>
      <c r="K21" s="6"/>
      <c r="L21" s="10"/>
    </row>
    <row r="22">
      <c r="A22" s="21">
        <f t="shared" ref="A22:A23" si="18">E$3*B$5/(E$3+B$5)</f>
        <v>5.463612306</v>
      </c>
      <c r="B22" s="21">
        <f t="shared" si="15"/>
        <v>86.6866</v>
      </c>
      <c r="C22" s="21">
        <f>E$5</f>
        <v>824.175</v>
      </c>
      <c r="D22" s="21">
        <f t="shared" si="16"/>
        <v>86.5134</v>
      </c>
      <c r="E22" s="6"/>
      <c r="F22" s="6">
        <f t="shared" si="17"/>
        <v>10.88265113</v>
      </c>
      <c r="G22" s="6"/>
      <c r="H22" s="6"/>
      <c r="I22" s="6"/>
      <c r="J22" s="6"/>
      <c r="K22" s="6"/>
      <c r="L22" s="10"/>
    </row>
    <row r="23">
      <c r="A23" s="6">
        <f t="shared" si="18"/>
        <v>5.463612306</v>
      </c>
      <c r="B23" s="6">
        <f t="shared" si="15"/>
        <v>86.6866</v>
      </c>
      <c r="C23" s="6">
        <f>E$5*B$5/(E$5+B$5)</f>
        <v>5.46353994</v>
      </c>
      <c r="D23" s="6">
        <f t="shared" si="16"/>
        <v>86.5134</v>
      </c>
      <c r="E23" s="6"/>
      <c r="F23" s="6">
        <f t="shared" si="17"/>
        <v>1.998119675</v>
      </c>
      <c r="G23" s="6"/>
      <c r="H23" s="6"/>
      <c r="I23" s="6"/>
      <c r="J23" s="6"/>
      <c r="K23" s="6"/>
      <c r="L23" s="10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10"/>
    </row>
    <row r="25">
      <c r="A25" s="4" t="s">
        <v>61</v>
      </c>
      <c r="B25" s="6"/>
      <c r="C25" s="6"/>
      <c r="D25" s="6"/>
      <c r="E25" s="12" t="s">
        <v>62</v>
      </c>
      <c r="F25" s="6">
        <f>F28/F29</f>
        <v>1.330669331</v>
      </c>
      <c r="G25" s="6"/>
      <c r="H25" s="4" t="s">
        <v>63</v>
      </c>
      <c r="I25" s="35"/>
      <c r="J25" s="6"/>
      <c r="K25" s="6"/>
      <c r="L25" s="10"/>
    </row>
    <row r="26">
      <c r="A26" s="37">
        <f t="shared" ref="A26:A28" si="19">F$20*K9</f>
        <v>0.998001998</v>
      </c>
      <c r="B26" s="39">
        <f t="shared" ref="B26:B28" si="20">F$21*K9</f>
        <v>0.5498472849</v>
      </c>
      <c r="C26" s="39">
        <f t="shared" ref="C26:C28" si="21">F$22*K9</f>
        <v>5.435884241</v>
      </c>
      <c r="D26" s="6"/>
      <c r="E26" s="12" t="s">
        <v>65</v>
      </c>
      <c r="F26" s="12">
        <v>1.34</v>
      </c>
      <c r="G26" s="6"/>
      <c r="H26" s="37">
        <f t="shared" ref="H26:H28" si="22">(F$26/(F$25*A26))/2</f>
        <v>0.504514026</v>
      </c>
      <c r="I26" s="39">
        <f t="shared" ref="I26:I28" si="23">F$26/(F$25*B26)/2</f>
        <v>0.9157197277</v>
      </c>
      <c r="J26" s="39">
        <f t="shared" ref="J26:J28" si="24">F$26/(F$25*C26)/2</f>
        <v>0.09262632972</v>
      </c>
      <c r="K26" s="6"/>
      <c r="L26" s="10"/>
    </row>
    <row r="27">
      <c r="A27" s="6">
        <f t="shared" si="19"/>
        <v>0.1829489362</v>
      </c>
      <c r="B27" s="41">
        <f t="shared" si="20"/>
        <v>0.1007953652</v>
      </c>
      <c r="C27" s="39">
        <f t="shared" si="21"/>
        <v>0.9964802084</v>
      </c>
      <c r="D27" s="6"/>
      <c r="E27" s="6"/>
      <c r="F27" s="6"/>
      <c r="G27" s="6"/>
      <c r="H27" s="6">
        <f t="shared" si="22"/>
        <v>2.752166897</v>
      </c>
      <c r="I27" s="41">
        <f t="shared" si="23"/>
        <v>4.995328954</v>
      </c>
      <c r="J27" s="39">
        <f t="shared" si="24"/>
        <v>0.5052845022</v>
      </c>
      <c r="K27" s="6"/>
      <c r="L27" s="10"/>
    </row>
    <row r="28">
      <c r="A28" s="6">
        <f t="shared" si="19"/>
        <v>1.814406845</v>
      </c>
      <c r="B28" s="39">
        <f t="shared" si="20"/>
        <v>0.9996439682</v>
      </c>
      <c r="C28" s="41">
        <f t="shared" si="21"/>
        <v>9.882651132</v>
      </c>
      <c r="D28" s="6"/>
      <c r="E28" s="42" t="s">
        <v>66</v>
      </c>
      <c r="F28" s="12">
        <f>340-0.001*340</f>
        <v>339.66</v>
      </c>
      <c r="G28" s="6"/>
      <c r="H28" s="6">
        <f t="shared" si="22"/>
        <v>0.2775044678</v>
      </c>
      <c r="I28" s="39">
        <f t="shared" si="23"/>
        <v>0.503685334</v>
      </c>
      <c r="J28" s="41">
        <f t="shared" si="24"/>
        <v>0.05094847519</v>
      </c>
      <c r="K28" s="6"/>
      <c r="L28" s="10"/>
    </row>
    <row r="29">
      <c r="A29" s="6"/>
      <c r="B29" s="6"/>
      <c r="C29" s="39"/>
      <c r="D29" s="6"/>
      <c r="E29" s="42" t="s">
        <v>67</v>
      </c>
      <c r="F29" s="12">
        <f>255+0.001*255</f>
        <v>255.255</v>
      </c>
      <c r="G29" s="6"/>
      <c r="H29" s="6"/>
      <c r="I29" s="6"/>
      <c r="J29" s="6"/>
      <c r="K29" s="6"/>
      <c r="L29" s="10"/>
    </row>
    <row r="30">
      <c r="A30" s="6"/>
      <c r="B30" s="6"/>
      <c r="C30" s="39"/>
      <c r="D30" s="6"/>
      <c r="E30" s="6"/>
      <c r="F30" s="6"/>
      <c r="G30" s="6"/>
      <c r="H30" s="6"/>
      <c r="I30" s="6"/>
      <c r="J30" s="6"/>
      <c r="K30" s="6"/>
      <c r="L30" s="10"/>
    </row>
    <row r="31">
      <c r="A31" s="10"/>
      <c r="B31" s="44"/>
      <c r="C31" s="44"/>
      <c r="D31" s="10"/>
      <c r="E31" s="10"/>
      <c r="F31" s="10"/>
      <c r="G31" s="10"/>
      <c r="H31" s="10"/>
      <c r="I31" s="10"/>
      <c r="J31" s="10"/>
      <c r="K31" s="10"/>
      <c r="L31" s="10"/>
    </row>
    <row r="32">
      <c r="B32" s="46"/>
      <c r="H32" s="2" t="s">
        <v>70</v>
      </c>
      <c r="I32" s="2">
        <v>4.983573334</v>
      </c>
    </row>
    <row r="33">
      <c r="C33" s="46"/>
      <c r="H33" s="2" t="s">
        <v>71</v>
      </c>
      <c r="I33" s="2">
        <v>4.967800889</v>
      </c>
    </row>
  </sheetData>
  <drawing r:id="rId1"/>
</worksheet>
</file>