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s\Guns\Statistics\"/>
    </mc:Choice>
  </mc:AlternateContent>
  <xr:revisionPtr revIDLastSave="0" documentId="13_ncr:1_{C9910B3E-1CF0-450F-91A4-8470E69D0795}" xr6:coauthVersionLast="43" xr6:coauthVersionMax="43" xr10:uidLastSave="{00000000-0000-0000-0000-000000000000}"/>
  <bookViews>
    <workbookView xWindow="-98" yWindow="-98" windowWidth="28996" windowHeight="15796" tabRatio="679" xr2:uid="{00000000-000D-0000-FFFF-FFFF00000000}"/>
  </bookViews>
  <sheets>
    <sheet name="Instructions" sheetId="13" r:id="rId1"/>
    <sheet name="BAC for Overlaid Samples" sheetId="9" r:id="rId2"/>
    <sheet name="BAC for Independent Groups" sheetId="6" r:id="rId3"/>
    <sheet name="Overlaid Samples" sheetId="11" r:id="rId4"/>
    <sheet name="Overlaid Independent" sheetId="12" r:id="rId5"/>
    <sheet name="Chart Data" sheetId="10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" i="9"/>
  <c r="X8" i="9"/>
  <c r="Y8" i="9"/>
  <c r="X6" i="9"/>
  <c r="Y6" i="9"/>
  <c r="X7" i="9"/>
  <c r="Y7" i="9"/>
  <c r="Y5" i="9"/>
  <c r="X5" i="9"/>
  <c r="U8" i="9"/>
  <c r="V8" i="9" s="1"/>
  <c r="W8" i="9" s="1"/>
  <c r="U7" i="9"/>
  <c r="V7" i="9" s="1"/>
  <c r="W7" i="9" s="1"/>
  <c r="U6" i="9"/>
  <c r="V6" i="9" s="1"/>
  <c r="W6" i="9" s="1"/>
  <c r="U5" i="9"/>
  <c r="V5" i="9" s="1"/>
  <c r="W5" i="9" s="1"/>
  <c r="G33" i="9"/>
  <c r="G34" i="9"/>
  <c r="G35" i="9"/>
  <c r="G36" i="9"/>
  <c r="G37" i="9"/>
  <c r="G38" i="9"/>
  <c r="U5" i="6" l="1"/>
  <c r="V5" i="6" s="1"/>
  <c r="W5" i="6" s="1"/>
  <c r="U2" i="6" l="1"/>
  <c r="U3" i="6"/>
  <c r="U4" i="6"/>
  <c r="N3" i="6"/>
  <c r="N2" i="6"/>
  <c r="N9" i="6" l="1"/>
  <c r="M8" i="6"/>
  <c r="M7" i="6"/>
  <c r="N1" i="6"/>
  <c r="M6" i="6"/>
  <c r="Y5" i="6"/>
  <c r="X5" i="6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" i="9"/>
  <c r="J37" i="9" l="1"/>
  <c r="J33" i="9"/>
  <c r="J38" i="9"/>
  <c r="J36" i="9"/>
  <c r="J34" i="9"/>
  <c r="J35" i="9"/>
  <c r="I34" i="9"/>
  <c r="K34" i="9" s="1"/>
  <c r="I38" i="9"/>
  <c r="I37" i="9"/>
  <c r="K37" i="9" s="1"/>
  <c r="I35" i="9"/>
  <c r="I36" i="9"/>
  <c r="I33" i="9"/>
  <c r="I4" i="9"/>
  <c r="B4" i="10" s="1"/>
  <c r="J5" i="9"/>
  <c r="C5" i="10" s="1"/>
  <c r="I3" i="9"/>
  <c r="J27" i="9"/>
  <c r="C27" i="10" s="1"/>
  <c r="J21" i="9"/>
  <c r="C21" i="10" s="1"/>
  <c r="J15" i="9"/>
  <c r="C15" i="10" s="1"/>
  <c r="J9" i="9"/>
  <c r="C9" i="10" s="1"/>
  <c r="J3" i="9"/>
  <c r="C3" i="10" s="1"/>
  <c r="I31" i="9"/>
  <c r="B31" i="10" s="1"/>
  <c r="I29" i="9"/>
  <c r="I27" i="9"/>
  <c r="I25" i="9"/>
  <c r="I23" i="9"/>
  <c r="B23" i="10" s="1"/>
  <c r="I21" i="9"/>
  <c r="I19" i="9"/>
  <c r="B19" i="10" s="1"/>
  <c r="I17" i="9"/>
  <c r="I15" i="9"/>
  <c r="B15" i="10" s="1"/>
  <c r="I13" i="9"/>
  <c r="I11" i="9"/>
  <c r="B11" i="10" s="1"/>
  <c r="I9" i="9"/>
  <c r="I7" i="9"/>
  <c r="B7" i="10" s="1"/>
  <c r="I5" i="9"/>
  <c r="K5" i="9" s="1"/>
  <c r="J31" i="9"/>
  <c r="C31" i="10" s="1"/>
  <c r="J25" i="9"/>
  <c r="C25" i="10" s="1"/>
  <c r="J19" i="9"/>
  <c r="C19" i="10" s="1"/>
  <c r="J13" i="9"/>
  <c r="C13" i="10" s="1"/>
  <c r="J7" i="9"/>
  <c r="C7" i="10" s="1"/>
  <c r="J32" i="9"/>
  <c r="C32" i="10" s="1"/>
  <c r="J30" i="9"/>
  <c r="C30" i="10" s="1"/>
  <c r="J28" i="9"/>
  <c r="C28" i="10" s="1"/>
  <c r="J26" i="9"/>
  <c r="C26" i="10" s="1"/>
  <c r="J24" i="9"/>
  <c r="C24" i="10" s="1"/>
  <c r="J22" i="9"/>
  <c r="C22" i="10" s="1"/>
  <c r="J20" i="9"/>
  <c r="C20" i="10" s="1"/>
  <c r="J18" i="9"/>
  <c r="C18" i="10" s="1"/>
  <c r="J16" i="9"/>
  <c r="C16" i="10" s="1"/>
  <c r="J14" i="9"/>
  <c r="C14" i="10" s="1"/>
  <c r="J12" i="9"/>
  <c r="C12" i="10" s="1"/>
  <c r="J10" i="9"/>
  <c r="C10" i="10" s="1"/>
  <c r="J8" i="9"/>
  <c r="C8" i="10" s="1"/>
  <c r="J6" i="9"/>
  <c r="C6" i="10" s="1"/>
  <c r="J4" i="9"/>
  <c r="C4" i="10" s="1"/>
  <c r="K31" i="9"/>
  <c r="J29" i="9"/>
  <c r="C29" i="10" s="1"/>
  <c r="J23" i="9"/>
  <c r="K23" i="9" s="1"/>
  <c r="J17" i="9"/>
  <c r="C17" i="10" s="1"/>
  <c r="J11" i="9"/>
  <c r="I32" i="9"/>
  <c r="B32" i="10" s="1"/>
  <c r="I30" i="9"/>
  <c r="B30" i="10" s="1"/>
  <c r="I28" i="9"/>
  <c r="B28" i="10" s="1"/>
  <c r="I26" i="9"/>
  <c r="I24" i="9"/>
  <c r="B24" i="10" s="1"/>
  <c r="I22" i="9"/>
  <c r="K22" i="9" s="1"/>
  <c r="I20" i="9"/>
  <c r="I18" i="9"/>
  <c r="I16" i="9"/>
  <c r="K16" i="9" s="1"/>
  <c r="I14" i="9"/>
  <c r="B14" i="10" s="1"/>
  <c r="I12" i="9"/>
  <c r="I10" i="9"/>
  <c r="I8" i="9"/>
  <c r="B8" i="10" s="1"/>
  <c r="I6" i="9"/>
  <c r="K6" i="9" s="1"/>
  <c r="Y4" i="6"/>
  <c r="X4" i="6"/>
  <c r="Y3" i="6"/>
  <c r="X3" i="6"/>
  <c r="Y2" i="6"/>
  <c r="X2" i="6"/>
  <c r="K27" i="9" l="1"/>
  <c r="K3" i="9"/>
  <c r="K36" i="9"/>
  <c r="K35" i="9"/>
  <c r="K33" i="9"/>
  <c r="K38" i="9"/>
  <c r="K10" i="9"/>
  <c r="K18" i="9"/>
  <c r="K26" i="9"/>
  <c r="K11" i="9"/>
  <c r="K12" i="9"/>
  <c r="K20" i="9"/>
  <c r="K19" i="9"/>
  <c r="K13" i="9"/>
  <c r="B20" i="10"/>
  <c r="K15" i="9"/>
  <c r="K4" i="9"/>
  <c r="B27" i="10"/>
  <c r="B12" i="10"/>
  <c r="K21" i="9"/>
  <c r="K29" i="9"/>
  <c r="B3" i="10"/>
  <c r="B6" i="10"/>
  <c r="B22" i="10"/>
  <c r="K8" i="9"/>
  <c r="K24" i="9"/>
  <c r="B5" i="10"/>
  <c r="B13" i="10"/>
  <c r="B21" i="10"/>
  <c r="B29" i="10"/>
  <c r="C11" i="10"/>
  <c r="K30" i="9"/>
  <c r="C23" i="10"/>
  <c r="K14" i="9"/>
  <c r="K7" i="9"/>
  <c r="B10" i="10"/>
  <c r="B26" i="10"/>
  <c r="K28" i="9"/>
  <c r="K9" i="9"/>
  <c r="K17" i="9"/>
  <c r="K25" i="9"/>
  <c r="B16" i="10"/>
  <c r="B18" i="10"/>
  <c r="K32" i="9"/>
  <c r="B9" i="10"/>
  <c r="B17" i="10"/>
  <c r="B25" i="10"/>
  <c r="P2" i="9" l="1"/>
  <c r="Q2" i="9"/>
  <c r="N3" i="9" l="1"/>
  <c r="N9" i="9" s="1"/>
  <c r="S2" i="9"/>
  <c r="T2" i="9" s="1"/>
  <c r="R2" i="9"/>
  <c r="U2" i="9"/>
  <c r="V2" i="9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F3" i="6"/>
  <c r="E3" i="6"/>
  <c r="N1" i="9" l="1"/>
  <c r="M7" i="9"/>
  <c r="M8" i="9"/>
  <c r="M6" i="9"/>
  <c r="N2" i="9"/>
  <c r="H3" i="6"/>
  <c r="G5" i="6"/>
  <c r="D5" i="10" s="1"/>
  <c r="H23" i="6"/>
  <c r="G23" i="6"/>
  <c r="I23" i="6" s="1"/>
  <c r="G13" i="6"/>
  <c r="D13" i="10" s="1"/>
  <c r="H24" i="6"/>
  <c r="H16" i="6"/>
  <c r="H6" i="6"/>
  <c r="G14" i="6"/>
  <c r="D14" i="10" s="1"/>
  <c r="H13" i="6"/>
  <c r="H32" i="6"/>
  <c r="G32" i="6"/>
  <c r="D32" i="10" s="1"/>
  <c r="H28" i="6"/>
  <c r="H26" i="6"/>
  <c r="H22" i="6"/>
  <c r="H18" i="6"/>
  <c r="H14" i="6"/>
  <c r="H10" i="6"/>
  <c r="H4" i="6"/>
  <c r="G28" i="6"/>
  <c r="G24" i="6"/>
  <c r="D24" i="10" s="1"/>
  <c r="G20" i="6"/>
  <c r="D20" i="10" s="1"/>
  <c r="G16" i="6"/>
  <c r="K16" i="6" s="1"/>
  <c r="G12" i="6"/>
  <c r="D12" i="10" s="1"/>
  <c r="G10" i="6"/>
  <c r="D10" i="10" s="1"/>
  <c r="G6" i="6"/>
  <c r="D6" i="10" s="1"/>
  <c r="G3" i="6"/>
  <c r="I3" i="6" s="1"/>
  <c r="H31" i="6"/>
  <c r="H29" i="6"/>
  <c r="H27" i="6"/>
  <c r="H25" i="6"/>
  <c r="H21" i="6"/>
  <c r="H19" i="6"/>
  <c r="H17" i="6"/>
  <c r="H15" i="6"/>
  <c r="H11" i="6"/>
  <c r="H9" i="6"/>
  <c r="H7" i="6"/>
  <c r="H5" i="6"/>
  <c r="H30" i="6"/>
  <c r="H20" i="6"/>
  <c r="H12" i="6"/>
  <c r="H8" i="6"/>
  <c r="G30" i="6"/>
  <c r="D30" i="10" s="1"/>
  <c r="G26" i="6"/>
  <c r="I26" i="6" s="1"/>
  <c r="G22" i="6"/>
  <c r="D22" i="10" s="1"/>
  <c r="G18" i="6"/>
  <c r="D18" i="10" s="1"/>
  <c r="G8" i="6"/>
  <c r="K8" i="6" s="1"/>
  <c r="G4" i="6"/>
  <c r="D4" i="10" s="1"/>
  <c r="G31" i="6"/>
  <c r="D31" i="10" s="1"/>
  <c r="G29" i="6"/>
  <c r="G27" i="6"/>
  <c r="I27" i="6" s="1"/>
  <c r="G25" i="6"/>
  <c r="D25" i="10" s="1"/>
  <c r="G21" i="6"/>
  <c r="D21" i="10" s="1"/>
  <c r="G19" i="6"/>
  <c r="G17" i="6"/>
  <c r="I17" i="6" s="1"/>
  <c r="G15" i="6"/>
  <c r="D15" i="10" s="1"/>
  <c r="G11" i="6"/>
  <c r="D11" i="10" s="1"/>
  <c r="G9" i="6"/>
  <c r="I9" i="6" s="1"/>
  <c r="G7" i="6"/>
  <c r="I7" i="6" s="1"/>
  <c r="E5" i="10" l="1"/>
  <c r="J5" i="6"/>
  <c r="E22" i="10"/>
  <c r="J22" i="6"/>
  <c r="E16" i="10"/>
  <c r="J16" i="6"/>
  <c r="E25" i="10"/>
  <c r="J25" i="6"/>
  <c r="E7" i="10"/>
  <c r="J7" i="6"/>
  <c r="E27" i="10"/>
  <c r="J27" i="6"/>
  <c r="E26" i="10"/>
  <c r="J26" i="6"/>
  <c r="E24" i="10"/>
  <c r="J24" i="6"/>
  <c r="E9" i="10"/>
  <c r="J9" i="6"/>
  <c r="E29" i="10"/>
  <c r="J29" i="6"/>
  <c r="E28" i="10"/>
  <c r="J28" i="6"/>
  <c r="E11" i="10"/>
  <c r="J11" i="6"/>
  <c r="E31" i="10"/>
  <c r="J31" i="6"/>
  <c r="E8" i="10"/>
  <c r="J8" i="6"/>
  <c r="E15" i="10"/>
  <c r="J15" i="6"/>
  <c r="E4" i="10"/>
  <c r="J4" i="6"/>
  <c r="E32" i="10"/>
  <c r="J32" i="6"/>
  <c r="E23" i="10"/>
  <c r="J23" i="6"/>
  <c r="E12" i="10"/>
  <c r="J12" i="6"/>
  <c r="E17" i="10"/>
  <c r="J17" i="6"/>
  <c r="E10" i="10"/>
  <c r="J10" i="6"/>
  <c r="E13" i="10"/>
  <c r="J13" i="6"/>
  <c r="I18" i="6"/>
  <c r="E20" i="10"/>
  <c r="J20" i="6"/>
  <c r="E19" i="10"/>
  <c r="J19" i="6"/>
  <c r="E14" i="10"/>
  <c r="J14" i="6"/>
  <c r="E3" i="10"/>
  <c r="J3" i="6"/>
  <c r="E30" i="10"/>
  <c r="J30" i="6"/>
  <c r="E21" i="10"/>
  <c r="J21" i="6"/>
  <c r="E18" i="10"/>
  <c r="J18" i="6"/>
  <c r="E6" i="10"/>
  <c r="J6" i="6"/>
  <c r="I10" i="6"/>
  <c r="I11" i="6"/>
  <c r="I25" i="6"/>
  <c r="K19" i="6"/>
  <c r="K29" i="6"/>
  <c r="K3" i="6"/>
  <c r="I6" i="6"/>
  <c r="I14" i="6"/>
  <c r="I22" i="6"/>
  <c r="I30" i="6"/>
  <c r="I19" i="6"/>
  <c r="I5" i="6"/>
  <c r="I8" i="6"/>
  <c r="I16" i="6"/>
  <c r="I24" i="6"/>
  <c r="I32" i="6"/>
  <c r="I21" i="6"/>
  <c r="K28" i="6"/>
  <c r="I4" i="6"/>
  <c r="I12" i="6"/>
  <c r="I20" i="6"/>
  <c r="I28" i="6"/>
  <c r="I15" i="6"/>
  <c r="I29" i="6"/>
  <c r="I13" i="6"/>
  <c r="I31" i="6"/>
  <c r="K23" i="6"/>
  <c r="K7" i="6"/>
  <c r="K17" i="6"/>
  <c r="K27" i="6"/>
  <c r="K26" i="6"/>
  <c r="K9" i="6"/>
  <c r="D29" i="10"/>
  <c r="D8" i="10"/>
  <c r="D16" i="10"/>
  <c r="D7" i="10"/>
  <c r="D23" i="10"/>
  <c r="D26" i="10"/>
  <c r="D9" i="10"/>
  <c r="D17" i="10"/>
  <c r="D28" i="10"/>
  <c r="D3" i="10"/>
  <c r="D19" i="10"/>
  <c r="D27" i="10"/>
  <c r="K18" i="6"/>
  <c r="K21" i="6"/>
  <c r="K15" i="6"/>
  <c r="K25" i="6"/>
  <c r="K4" i="6"/>
  <c r="K11" i="6"/>
  <c r="K31" i="6"/>
  <c r="K6" i="6"/>
  <c r="K13" i="6"/>
  <c r="K24" i="6"/>
  <c r="K22" i="6"/>
  <c r="K32" i="6"/>
  <c r="K20" i="6"/>
  <c r="K5" i="6"/>
  <c r="K30" i="6"/>
  <c r="K10" i="6"/>
  <c r="K14" i="6"/>
  <c r="K12" i="6"/>
  <c r="V4" i="6"/>
  <c r="W4" i="6" s="1"/>
  <c r="V3" i="6"/>
  <c r="W3" i="6" s="1"/>
  <c r="V2" i="6"/>
  <c r="W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U2" authorId="0" shapeId="0" xr:uid="{00000000-0006-0000-0100-000001000000}">
      <text>
        <r>
          <rPr>
            <sz val="9"/>
            <color indexed="81"/>
            <rFont val="Tahoma"/>
            <family val="2"/>
          </rPr>
          <t>Confidence interval about estimated sigma</t>
        </r>
      </text>
    </comment>
  </commentList>
</comments>
</file>

<file path=xl/sharedStrings.xml><?xml version="1.0" encoding="utf-8"?>
<sst xmlns="http://schemas.openxmlformats.org/spreadsheetml/2006/main" count="81" uniqueCount="48">
  <si>
    <t>Radius^2</t>
  </si>
  <si>
    <t>Point Y</t>
  </si>
  <si>
    <t>Point X</t>
  </si>
  <si>
    <t>Center Y</t>
  </si>
  <si>
    <t>Center X</t>
  </si>
  <si>
    <t>Group</t>
  </si>
  <si>
    <t>Grand Total</t>
  </si>
  <si>
    <t>Sum Radius^2</t>
  </si>
  <si>
    <t>cB(n)</t>
  </si>
  <si>
    <t>2n-1</t>
  </si>
  <si>
    <t>Est. Sigma</t>
  </si>
  <si>
    <t>Confidence:</t>
  </si>
  <si>
    <t>Count of Group</t>
  </si>
  <si>
    <t>MOA</t>
  </si>
  <si>
    <t>Graph X</t>
  </si>
  <si>
    <t>Graph Y</t>
  </si>
  <si>
    <t>POI (Inches)</t>
  </si>
  <si>
    <t>POA (Inches)</t>
  </si>
  <si>
    <t>Aim X</t>
  </si>
  <si>
    <t>Aim Y</t>
  </si>
  <si>
    <t>Impact X</t>
  </si>
  <si>
    <t>Impact Y</t>
  </si>
  <si>
    <t>Ref POA</t>
  </si>
  <si>
    <t>Ref Sample Center</t>
  </si>
  <si>
    <t>Instructions</t>
  </si>
  <si>
    <t>(Yards)</t>
  </si>
  <si>
    <t>Distance</t>
  </si>
  <si>
    <t>Shoot a target at a known distance, and measure the coordinates of the center of each hit on the target.</t>
  </si>
  <si>
    <t>Put your sample data in the shaded columns of the applicable worksheet.</t>
  </si>
  <si>
    <t>Estimated Sigma</t>
  </si>
  <si>
    <t>Accuracy Class</t>
  </si>
  <si>
    <t>90% confidence value</t>
  </si>
  <si>
    <t>(First be sure to remove any previous or sample data from the shaded columns.)</t>
  </si>
  <si>
    <t>Run Analysis</t>
  </si>
  <si>
    <t>Collect Data</t>
  </si>
  <si>
    <r>
      <rPr>
        <b/>
        <sz val="10"/>
        <color theme="1"/>
        <rFont val="Arial"/>
        <family val="2"/>
      </rPr>
      <t>A.</t>
    </r>
    <r>
      <rPr>
        <sz val="10"/>
        <color theme="1"/>
        <rFont val="Arial"/>
        <family val="2"/>
      </rPr>
      <t xml:space="preserve"> If your sighting system does not change during the testing </t>
    </r>
    <r>
      <rPr>
        <i/>
        <sz val="10"/>
        <color theme="1"/>
        <rFont val="Arial"/>
        <family val="2"/>
      </rPr>
      <t xml:space="preserve">and </t>
    </r>
    <r>
      <rPr>
        <sz val="10"/>
        <color theme="1"/>
        <rFont val="Arial"/>
        <family val="2"/>
      </rPr>
      <t xml:space="preserve">you record the point of aim for each shot, then use the </t>
    </r>
    <r>
      <rPr>
        <b/>
        <sz val="10"/>
        <color theme="1"/>
        <rFont val="Arial"/>
        <family val="2"/>
      </rPr>
      <t>BAC for Overlaid Samples</t>
    </r>
    <r>
      <rPr>
        <sz val="10"/>
        <color theme="1"/>
        <rFont val="Arial"/>
        <family val="2"/>
      </rPr>
      <t xml:space="preserve"> worksheet.  (</t>
    </r>
    <r>
      <rPr>
        <i/>
        <sz val="10"/>
        <color theme="1"/>
        <rFont val="Arial"/>
        <family val="2"/>
      </rPr>
      <t>This is the most efficient way to estimate precision</t>
    </r>
    <r>
      <rPr>
        <sz val="10"/>
        <color theme="1"/>
        <rFont val="Arial"/>
        <family val="2"/>
      </rPr>
      <t>.)</t>
    </r>
  </si>
  <si>
    <r>
      <rPr>
        <b/>
        <sz val="10"/>
        <color theme="1"/>
        <rFont val="Arial"/>
        <family val="2"/>
      </rPr>
      <t>B.</t>
    </r>
    <r>
      <rPr>
        <sz val="10"/>
        <color theme="1"/>
        <rFont val="Arial"/>
        <family val="2"/>
      </rPr>
      <t xml:space="preserve"> Otherwise, you will have to break your samples into "groups."  Use the </t>
    </r>
    <r>
      <rPr>
        <b/>
        <sz val="10"/>
        <color theme="1"/>
        <rFont val="Arial"/>
        <family val="2"/>
      </rPr>
      <t>BAC for Independent Groups</t>
    </r>
    <r>
      <rPr>
        <sz val="10"/>
        <color theme="1"/>
        <rFont val="Arial"/>
        <family val="2"/>
      </rPr>
      <t xml:space="preserve"> worksheet.</t>
    </r>
  </si>
  <si>
    <t>(Inches)</t>
  </si>
  <si>
    <r>
      <t xml:space="preserve">The </t>
    </r>
    <r>
      <rPr>
        <b/>
        <sz val="10"/>
        <color theme="1"/>
        <rFont val="Arial"/>
        <family val="2"/>
      </rPr>
      <t xml:space="preserve">Ballistic Accuracy Class </t>
    </r>
    <r>
      <rPr>
        <sz val="10"/>
        <color theme="1"/>
        <rFont val="Arial"/>
        <family val="2"/>
      </rPr>
      <t xml:space="preserve">and </t>
    </r>
    <r>
      <rPr>
        <b/>
        <sz val="10"/>
        <color theme="1"/>
        <rFont val="Arial"/>
        <family val="2"/>
      </rPr>
      <t xml:space="preserve">Estimated Sigma </t>
    </r>
    <r>
      <rPr>
        <sz val="10"/>
        <color theme="1"/>
        <rFont val="Arial"/>
        <family val="2"/>
      </rPr>
      <t>are calculated and displayed in column M.</t>
    </r>
  </si>
  <si>
    <t>2n+1-2g</t>
  </si>
  <si>
    <t>cG</t>
  </si>
  <si>
    <t>Chart X</t>
  </si>
  <si>
    <t>Chart Y</t>
  </si>
  <si>
    <t>Sum of Radius^2</t>
  </si>
  <si>
    <t>StdDev Y</t>
  </si>
  <si>
    <t>StdDev X</t>
  </si>
  <si>
    <t>Shots expected within</t>
  </si>
  <si>
    <t>CEP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</si>
</sst>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000"/>
    <numFmt numFmtId="166" formatCode="0.000000"/>
  </numFmts>
  <fonts count="3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3F3F76"/>
      <name val="Arial"/>
      <family val="2"/>
    </font>
    <font>
      <b/>
      <sz val="10"/>
      <color rgb="FFFA7D00"/>
      <name val="Arial"/>
      <family val="2"/>
    </font>
    <font>
      <sz val="10"/>
      <color theme="0" tint="-0.499984740745262"/>
      <name val="Arial"/>
      <family val="2"/>
    </font>
    <font>
      <b/>
      <sz val="8"/>
      <color rgb="FFFA7D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b/>
      <sz val="10"/>
      <color theme="0" tint="-0.499984740745262"/>
      <name val="Arial"/>
      <family val="2"/>
    </font>
    <font>
      <b/>
      <sz val="8"/>
      <color theme="1"/>
      <name val="Arial"/>
      <family val="2"/>
    </font>
    <font>
      <sz val="8"/>
      <color theme="0" tint="-0.49998474074526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sz val="10"/>
      <color rgb="FF3F3F3F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10"/>
      <color rgb="FF3F3F7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3" borderId="5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</cellStyleXfs>
  <cellXfs count="94">
    <xf numFmtId="0" fontId="0" fillId="0" borderId="0" xfId="0"/>
    <xf numFmtId="0" fontId="5" fillId="0" borderId="0" xfId="0" applyFont="1"/>
    <xf numFmtId="0" fontId="5" fillId="0" borderId="0" xfId="0" applyNumberFormat="1" applyFont="1"/>
    <xf numFmtId="43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0" xfId="0"/>
    <xf numFmtId="0" fontId="0" fillId="0" borderId="11" xfId="0" applyBorder="1"/>
    <xf numFmtId="164" fontId="0" fillId="0" borderId="0" xfId="0" applyNumberFormat="1"/>
    <xf numFmtId="164" fontId="0" fillId="0" borderId="0" xfId="2" applyNumberFormat="1" applyFont="1"/>
    <xf numFmtId="0" fontId="5" fillId="0" borderId="12" xfId="0" applyFont="1" applyBorder="1"/>
    <xf numFmtId="43" fontId="4" fillId="3" borderId="13" xfId="4" applyNumberFormat="1" applyBorder="1"/>
    <xf numFmtId="43" fontId="0" fillId="0" borderId="12" xfId="0" applyNumberFormat="1" applyBorder="1"/>
    <xf numFmtId="43" fontId="4" fillId="3" borderId="15" xfId="4" applyNumberFormat="1" applyBorder="1"/>
    <xf numFmtId="0" fontId="0" fillId="0" borderId="14" xfId="0" pivotButton="1" applyBorder="1"/>
    <xf numFmtId="0" fontId="20" fillId="0" borderId="14" xfId="0" applyFont="1" applyBorder="1" applyAlignment="1">
      <alignment horizontal="center"/>
    </xf>
    <xf numFmtId="0" fontId="6" fillId="3" borderId="16" xfId="4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9" fontId="3" fillId="2" borderId="16" xfId="1" applyFont="1" applyFill="1" applyBorder="1"/>
    <xf numFmtId="2" fontId="22" fillId="0" borderId="14" xfId="0" applyNumberFormat="1" applyFont="1" applyBorder="1"/>
    <xf numFmtId="0" fontId="22" fillId="0" borderId="14" xfId="0" applyFont="1" applyBorder="1"/>
    <xf numFmtId="2" fontId="5" fillId="0" borderId="0" xfId="0" applyNumberFormat="1" applyFont="1"/>
    <xf numFmtId="2" fontId="5" fillId="0" borderId="12" xfId="0" applyNumberFormat="1" applyFont="1" applyBorder="1"/>
    <xf numFmtId="0" fontId="5" fillId="0" borderId="12" xfId="0" applyNumberFormat="1" applyFont="1" applyBorder="1"/>
    <xf numFmtId="43" fontId="2" fillId="0" borderId="12" xfId="0" applyNumberFormat="1" applyFont="1" applyBorder="1"/>
    <xf numFmtId="0" fontId="2" fillId="33" borderId="18" xfId="0" applyFont="1" applyFill="1" applyBorder="1"/>
    <xf numFmtId="0" fontId="2" fillId="0" borderId="19" xfId="0" applyFont="1" applyBorder="1"/>
    <xf numFmtId="0" fontId="0" fillId="0" borderId="17" xfId="0" applyBorder="1"/>
    <xf numFmtId="0" fontId="2" fillId="0" borderId="21" xfId="0" applyFont="1" applyBorder="1"/>
    <xf numFmtId="0" fontId="2" fillId="33" borderId="20" xfId="0" applyFont="1" applyFill="1" applyBorder="1"/>
    <xf numFmtId="0" fontId="0" fillId="33" borderId="17" xfId="0" applyFill="1" applyBorder="1"/>
    <xf numFmtId="43" fontId="0" fillId="0" borderId="0" xfId="0" applyNumberFormat="1" applyFill="1" applyBorder="1"/>
    <xf numFmtId="0" fontId="0" fillId="0" borderId="0" xfId="0" applyBorder="1"/>
    <xf numFmtId="0" fontId="5" fillId="0" borderId="0" xfId="0" quotePrefix="1" applyFont="1"/>
    <xf numFmtId="43" fontId="0" fillId="0" borderId="0" xfId="0" quotePrefix="1" applyNumberFormat="1" applyFill="1" applyBorder="1"/>
    <xf numFmtId="0" fontId="0" fillId="33" borderId="18" xfId="0" applyFill="1" applyBorder="1"/>
    <xf numFmtId="0" fontId="0" fillId="33" borderId="20" xfId="0" applyFill="1" applyBorder="1"/>
    <xf numFmtId="0" fontId="0" fillId="0" borderId="19" xfId="0" applyBorder="1"/>
    <xf numFmtId="0" fontId="0" fillId="33" borderId="0" xfId="0" applyFill="1" applyBorder="1"/>
    <xf numFmtId="0" fontId="24" fillId="0" borderId="14" xfId="0" applyFont="1" applyBorder="1" applyAlignment="1">
      <alignment horizontal="right"/>
    </xf>
    <xf numFmtId="0" fontId="2" fillId="0" borderId="22" xfId="0" applyFont="1" applyBorder="1"/>
    <xf numFmtId="0" fontId="0" fillId="0" borderId="29" xfId="0" applyBorder="1"/>
    <xf numFmtId="0" fontId="0" fillId="0" borderId="25" xfId="0" applyBorder="1"/>
    <xf numFmtId="0" fontId="0" fillId="0" borderId="24" xfId="0" applyBorder="1"/>
    <xf numFmtId="0" fontId="2" fillId="0" borderId="23" xfId="0" applyFont="1" applyBorder="1"/>
    <xf numFmtId="0" fontId="0" fillId="0" borderId="30" xfId="0" applyBorder="1"/>
    <xf numFmtId="0" fontId="23" fillId="0" borderId="14" xfId="0" applyFont="1" applyBorder="1" applyAlignment="1">
      <alignment horizontal="center"/>
    </xf>
    <xf numFmtId="0" fontId="0" fillId="0" borderId="28" xfId="0" applyBorder="1"/>
    <xf numFmtId="2" fontId="24" fillId="0" borderId="14" xfId="0" applyNumberFormat="1" applyFont="1" applyBorder="1" applyAlignment="1">
      <alignment horizontal="right"/>
    </xf>
    <xf numFmtId="0" fontId="0" fillId="0" borderId="31" xfId="0" applyBorder="1"/>
    <xf numFmtId="0" fontId="0" fillId="0" borderId="0" xfId="0"/>
    <xf numFmtId="0" fontId="2" fillId="0" borderId="0" xfId="0" applyFon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2" xfId="0" applyFont="1" applyBorder="1"/>
    <xf numFmtId="0" fontId="21" fillId="0" borderId="14" xfId="0" applyFont="1" applyBorder="1" applyAlignment="1">
      <alignment horizontal="center"/>
    </xf>
    <xf numFmtId="9" fontId="3" fillId="2" borderId="16" xfId="1" applyFont="1" applyFill="1" applyBorder="1"/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43" fontId="5" fillId="0" borderId="0" xfId="0" applyNumberFormat="1" applyFont="1"/>
    <xf numFmtId="0" fontId="14" fillId="3" borderId="5" xfId="13" applyAlignment="1">
      <alignment horizontal="right"/>
    </xf>
    <xf numFmtId="43" fontId="14" fillId="3" borderId="5" xfId="13" applyNumberFormat="1"/>
    <xf numFmtId="0" fontId="16" fillId="9" borderId="12" xfId="20" applyNumberFormat="1" applyFont="1" applyBorder="1" applyAlignment="1">
      <alignment horizontal="right"/>
    </xf>
    <xf numFmtId="0" fontId="16" fillId="9" borderId="12" xfId="20" applyNumberFormat="1" applyFont="1" applyBorder="1" applyAlignment="1">
      <alignment horizontal="center"/>
    </xf>
    <xf numFmtId="0" fontId="26" fillId="3" borderId="5" xfId="13" applyFont="1" applyAlignment="1">
      <alignment horizontal="right"/>
    </xf>
    <xf numFmtId="43" fontId="26" fillId="3" borderId="5" xfId="13" applyNumberFormat="1" applyFont="1"/>
    <xf numFmtId="0" fontId="0" fillId="0" borderId="32" xfId="0" applyBorder="1" applyAlignment="1">
      <alignment horizontal="center"/>
    </xf>
    <xf numFmtId="0" fontId="8" fillId="0" borderId="2" xfId="6"/>
    <xf numFmtId="0" fontId="9" fillId="0" borderId="3" xfId="7"/>
    <xf numFmtId="0" fontId="0" fillId="0" borderId="0" xfId="0" applyAlignment="1">
      <alignment horizontal="left" wrapText="1" indent="1"/>
    </xf>
    <xf numFmtId="0" fontId="2" fillId="0" borderId="0" xfId="0" applyFont="1" applyBorder="1"/>
    <xf numFmtId="0" fontId="0" fillId="0" borderId="0" xfId="0" pivotButton="1"/>
    <xf numFmtId="165" fontId="0" fillId="0" borderId="0" xfId="0" applyNumberFormat="1"/>
    <xf numFmtId="0" fontId="27" fillId="0" borderId="0" xfId="0" applyFont="1"/>
    <xf numFmtId="0" fontId="0" fillId="0" borderId="0" xfId="0" applyAlignment="1">
      <alignment horizontal="right"/>
    </xf>
    <xf numFmtId="165" fontId="5" fillId="0" borderId="12" xfId="0" applyNumberFormat="1" applyFont="1" applyBorder="1"/>
    <xf numFmtId="2" fontId="3" fillId="2" borderId="1" xfId="3" applyNumberFormat="1"/>
    <xf numFmtId="9" fontId="4" fillId="3" borderId="1" xfId="4" applyNumberFormat="1"/>
    <xf numFmtId="0" fontId="25" fillId="0" borderId="0" xfId="0" applyFont="1"/>
    <xf numFmtId="166" fontId="5" fillId="0" borderId="0" xfId="0" applyNumberFormat="1" applyFont="1"/>
    <xf numFmtId="2" fontId="14" fillId="3" borderId="5" xfId="0" applyNumberFormat="1" applyFont="1" applyFill="1" applyBorder="1"/>
    <xf numFmtId="43" fontId="26" fillId="3" borderId="5" xfId="13" applyNumberFormat="1" applyFont="1" applyAlignment="1">
      <alignment horizontal="right"/>
    </xf>
    <xf numFmtId="0" fontId="29" fillId="2" borderId="1" xfId="3" applyFont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1" builtinId="27" customBuiltin="1"/>
    <cellStyle name="Calculation" xfId="4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3" builtinId="20" customBuiltin="1"/>
    <cellStyle name="Linked Cell" xfId="14" builtinId="24" customBuiltin="1"/>
    <cellStyle name="Neutral" xfId="12" builtinId="28" customBuiltin="1"/>
    <cellStyle name="Normal" xfId="0" builtinId="0"/>
    <cellStyle name="Note" xfId="17" builtinId="10" customBuiltin="1"/>
    <cellStyle name="Output" xfId="13" builtinId="21" customBuiltin="1"/>
    <cellStyle name="Percent" xfId="1" builtinId="5"/>
    <cellStyle name="Title" xfId="5" builtinId="15" customBuiltin="1"/>
    <cellStyle name="Total" xfId="19" builtinId="25" customBuiltin="1"/>
    <cellStyle name="Warning Text" xfId="16" builtinId="11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scheme val="none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2" formatCode="0.00"/>
    </dxf>
    <dxf>
      <font>
        <color theme="0" tint="-0.499984740745262"/>
      </font>
    </dxf>
    <dxf>
      <font>
        <color theme="0" tint="-0.499984740745262"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8"/>
      </font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F3F3F"/>
        <name val="Arial"/>
        <scheme val="none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color theme="0" tint="-0.499984740745262"/>
      </font>
    </dxf>
    <dxf>
      <alignment horizontal="right" readingOrder="0"/>
    </dxf>
    <dxf>
      <alignment horizontal="right" readingOrder="0"/>
    </dxf>
    <dxf>
      <font>
        <sz val="8"/>
      </font>
    </dxf>
    <dxf>
      <numFmt numFmtId="166" formatCode="0.00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Aggregated Shots in MOA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 for Overlaid Samples'!$H$2</c:f>
              <c:strCache>
                <c:ptCount val="1"/>
                <c:pt idx="0">
                  <c:v>Point 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70C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'BAC for Overlaid Samples'!$G$3:$G$38</c:f>
              <c:numCache>
                <c:formatCode>General</c:formatCode>
                <c:ptCount val="36"/>
                <c:pt idx="0">
                  <c:v>0.4660936007640879</c:v>
                </c:pt>
                <c:pt idx="1">
                  <c:v>0.75549188156638059</c:v>
                </c:pt>
                <c:pt idx="2">
                  <c:v>7.6408787010506282E-2</c:v>
                </c:pt>
                <c:pt idx="3">
                  <c:v>7.6408787010506282E-2</c:v>
                </c:pt>
                <c:pt idx="4">
                  <c:v>0.1041069723018147</c:v>
                </c:pt>
                <c:pt idx="5">
                  <c:v>0.375358166189112</c:v>
                </c:pt>
                <c:pt idx="6">
                  <c:v>0.78319006685768899</c:v>
                </c:pt>
                <c:pt idx="7">
                  <c:v>0.83667621776504331</c:v>
                </c:pt>
                <c:pt idx="8">
                  <c:v>0.54727793696275118</c:v>
                </c:pt>
                <c:pt idx="9">
                  <c:v>0.61127029608404981</c:v>
                </c:pt>
                <c:pt idx="10">
                  <c:v>-0.23782234957020026</c:v>
                </c:pt>
                <c:pt idx="11">
                  <c:v>1.5281757402101257E-2</c:v>
                </c:pt>
                <c:pt idx="12">
                  <c:v>0.24164278892072602</c:v>
                </c:pt>
                <c:pt idx="13">
                  <c:v>-0.14708691499522439</c:v>
                </c:pt>
                <c:pt idx="14">
                  <c:v>-0.40114613180515757</c:v>
                </c:pt>
                <c:pt idx="15">
                  <c:v>0.12416427889207249</c:v>
                </c:pt>
                <c:pt idx="16">
                  <c:v>-2.8653295128940916E-3</c:v>
                </c:pt>
                <c:pt idx="17">
                  <c:v>-0.18338108882521509</c:v>
                </c:pt>
                <c:pt idx="18">
                  <c:v>-0.20152817574020956</c:v>
                </c:pt>
                <c:pt idx="19">
                  <c:v>-0.21967526265520493</c:v>
                </c:pt>
                <c:pt idx="20">
                  <c:v>-0.3486150907354344</c:v>
                </c:pt>
                <c:pt idx="21">
                  <c:v>-0.1747851002865328</c:v>
                </c:pt>
                <c:pt idx="22">
                  <c:v>-0.31709646609360065</c:v>
                </c:pt>
                <c:pt idx="23">
                  <c:v>-6.3037249283667468E-2</c:v>
                </c:pt>
                <c:pt idx="24">
                  <c:v>0.40305635148042002</c:v>
                </c:pt>
                <c:pt idx="25">
                  <c:v>0.20439350525310451</c:v>
                </c:pt>
                <c:pt idx="26">
                  <c:v>0.26647564469914031</c:v>
                </c:pt>
                <c:pt idx="27">
                  <c:v>4.2979942693409677E-2</c:v>
                </c:pt>
                <c:pt idx="28">
                  <c:v>3.0563514804202514E-2</c:v>
                </c:pt>
                <c:pt idx="29">
                  <c:v>-4.3935052531041324E-2</c:v>
                </c:pt>
                <c:pt idx="30">
                  <c:v>1.7191977077363703E-2</c:v>
                </c:pt>
                <c:pt idx="31">
                  <c:v>0.34765998089780314</c:v>
                </c:pt>
                <c:pt idx="32">
                  <c:v>0.38204393505253098</c:v>
                </c:pt>
                <c:pt idx="33">
                  <c:v>0.20821394460362941</c:v>
                </c:pt>
                <c:pt idx="34">
                  <c:v>0.26934097421203446</c:v>
                </c:pt>
                <c:pt idx="35">
                  <c:v>0.20821394460362941</c:v>
                </c:pt>
              </c:numCache>
            </c:numRef>
          </c:xVal>
          <c:yVal>
            <c:numRef>
              <c:f>'BAC for Overlaid Samples'!$H$3:$H$38</c:f>
              <c:numCache>
                <c:formatCode>General</c:formatCode>
                <c:ptCount val="36"/>
                <c:pt idx="0">
                  <c:v>-0.43839541547277949</c:v>
                </c:pt>
                <c:pt idx="1">
                  <c:v>-0.43839541547277949</c:v>
                </c:pt>
                <c:pt idx="2">
                  <c:v>-4.9665711556829084E-2</c:v>
                </c:pt>
                <c:pt idx="3">
                  <c:v>0.17669531996179566</c:v>
                </c:pt>
                <c:pt idx="4">
                  <c:v>0.24928366762177642</c:v>
                </c:pt>
                <c:pt idx="5">
                  <c:v>-9.455587392550141E-2</c:v>
                </c:pt>
                <c:pt idx="6">
                  <c:v>0.1041069723018147</c:v>
                </c:pt>
                <c:pt idx="7">
                  <c:v>1.3371537726838599E-2</c:v>
                </c:pt>
                <c:pt idx="8">
                  <c:v>-0.21298949379178594</c:v>
                </c:pt>
                <c:pt idx="9">
                  <c:v>-0.31232091690544411</c:v>
                </c:pt>
                <c:pt idx="10">
                  <c:v>-0.3161413562559694</c:v>
                </c:pt>
                <c:pt idx="11">
                  <c:v>-0.1442215854823303</c:v>
                </c:pt>
                <c:pt idx="12">
                  <c:v>0.16332378223495708</c:v>
                </c:pt>
                <c:pt idx="13">
                  <c:v>0.53486150907354357</c:v>
                </c:pt>
                <c:pt idx="14">
                  <c:v>0.11843361986628452</c:v>
                </c:pt>
                <c:pt idx="15">
                  <c:v>0.10028653295128939</c:v>
                </c:pt>
                <c:pt idx="16">
                  <c:v>0.16332378223495708</c:v>
                </c:pt>
                <c:pt idx="17">
                  <c:v>0.19102196752626549</c:v>
                </c:pt>
                <c:pt idx="18">
                  <c:v>2.7698185291308422E-2</c:v>
                </c:pt>
                <c:pt idx="19">
                  <c:v>-0.11652340019102207</c:v>
                </c:pt>
                <c:pt idx="20">
                  <c:v>1.2397325692454633</c:v>
                </c:pt>
                <c:pt idx="21">
                  <c:v>1.0601719197707735</c:v>
                </c:pt>
                <c:pt idx="22">
                  <c:v>0.7249283667621772</c:v>
                </c:pt>
                <c:pt idx="23">
                  <c:v>0.22254059216809902</c:v>
                </c:pt>
                <c:pt idx="24">
                  <c:v>0.53295128939828063</c:v>
                </c:pt>
                <c:pt idx="25">
                  <c:v>0.53868194842406891</c:v>
                </c:pt>
                <c:pt idx="26">
                  <c:v>0.6628462273161414</c:v>
                </c:pt>
                <c:pt idx="27">
                  <c:v>0.42120343839541535</c:v>
                </c:pt>
                <c:pt idx="28">
                  <c:v>0.61986628462273163</c:v>
                </c:pt>
                <c:pt idx="29">
                  <c:v>0.84336198662846229</c:v>
                </c:pt>
                <c:pt idx="30">
                  <c:v>0.13085004775549233</c:v>
                </c:pt>
                <c:pt idx="31">
                  <c:v>0.18242597898758428</c:v>
                </c:pt>
                <c:pt idx="32">
                  <c:v>-0.30372492836676185</c:v>
                </c:pt>
                <c:pt idx="33">
                  <c:v>-0.31232091690544411</c:v>
                </c:pt>
                <c:pt idx="34">
                  <c:v>-0.12989493791785983</c:v>
                </c:pt>
                <c:pt idx="35">
                  <c:v>4.3935052531040478E-2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D44-98E0-43CADACB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02624"/>
        <c:axId val="267401088"/>
      </c:scatterChart>
      <c:valAx>
        <c:axId val="267402624"/>
        <c:scaling>
          <c:orientation val="minMax"/>
          <c:max val="1.5"/>
          <c:min val="-0.5"/>
        </c:scaling>
        <c:delete val="0"/>
        <c:axPos val="b"/>
        <c:numFmt formatCode="General" sourceLinked="1"/>
        <c:majorTickMark val="out"/>
        <c:minorTickMark val="none"/>
        <c:tickLblPos val="nextTo"/>
        <c:crossAx val="267401088"/>
        <c:crosses val="autoZero"/>
        <c:crossBetween val="midCat"/>
        <c:majorUnit val="0.5"/>
      </c:valAx>
      <c:valAx>
        <c:axId val="267401088"/>
        <c:scaling>
          <c:orientation val="minMax"/>
          <c:max val="1.5"/>
          <c:min val="-0.5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67402624"/>
        <c:crossesAt val="0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Aggregated Shots in MOA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 for Independent Groups'!$J$2</c:f>
              <c:strCache>
                <c:ptCount val="1"/>
                <c:pt idx="0">
                  <c:v>Chart 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70C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'BAC for Independent Groups'!$I$3:$I$32</c:f>
              <c:numCache>
                <c:formatCode>General</c:formatCode>
                <c:ptCount val="30"/>
                <c:pt idx="0">
                  <c:v>0.35884841042434168</c:v>
                </c:pt>
                <c:pt idx="1">
                  <c:v>0.83169835467039288</c:v>
                </c:pt>
                <c:pt idx="2">
                  <c:v>0.27980483765485253</c:v>
                </c:pt>
                <c:pt idx="3">
                  <c:v>0.25863245209159658</c:v>
                </c:pt>
                <c:pt idx="4">
                  <c:v>1.679675921351631E-2</c:v>
                </c:pt>
                <c:pt idx="5">
                  <c:v>-0.11447203127867134</c:v>
                </c:pt>
                <c:pt idx="6">
                  <c:v>-0.1356444168419273</c:v>
                </c:pt>
                <c:pt idx="7">
                  <c:v>-0.14081988886850105</c:v>
                </c:pt>
                <c:pt idx="8">
                  <c:v>-0.39347702325668976</c:v>
                </c:pt>
                <c:pt idx="9">
                  <c:v>-0.96136745380891231</c:v>
                </c:pt>
                <c:pt idx="10">
                  <c:v>0.74564436979217952</c:v>
                </c:pt>
                <c:pt idx="11">
                  <c:v>0.44593748970786606</c:v>
                </c:pt>
                <c:pt idx="12">
                  <c:v>-0.24334128474035843</c:v>
                </c:pt>
                <c:pt idx="13">
                  <c:v>0.42994057617118386</c:v>
                </c:pt>
                <c:pt idx="14">
                  <c:v>-0.43765673446535303</c:v>
                </c:pt>
                <c:pt idx="15">
                  <c:v>-0.12948090015573577</c:v>
                </c:pt>
                <c:pt idx="16">
                  <c:v>-0.18499960007716254</c:v>
                </c:pt>
                <c:pt idx="17">
                  <c:v>0.13870265031217421</c:v>
                </c:pt>
                <c:pt idx="18">
                  <c:v>-0.60280134185874878</c:v>
                </c:pt>
                <c:pt idx="19">
                  <c:v>-0.1619452246860611</c:v>
                </c:pt>
                <c:pt idx="20">
                  <c:v>0.15992208562112786</c:v>
                </c:pt>
                <c:pt idx="21">
                  <c:v>-0.28516850866420995</c:v>
                </c:pt>
                <c:pt idx="22">
                  <c:v>0.31048127184872598</c:v>
                </c:pt>
                <c:pt idx="23">
                  <c:v>0.20838332368813717</c:v>
                </c:pt>
                <c:pt idx="24">
                  <c:v>4.6579248239169146E-3</c:v>
                </c:pt>
                <c:pt idx="25">
                  <c:v>-0.65497950983574782</c:v>
                </c:pt>
                <c:pt idx="26">
                  <c:v>0.44175006234091363</c:v>
                </c:pt>
                <c:pt idx="27">
                  <c:v>-0.23953025533896977</c:v>
                </c:pt>
                <c:pt idx="28">
                  <c:v>0.10910836026931392</c:v>
                </c:pt>
                <c:pt idx="29">
                  <c:v>-5.4624754753199056E-2</c:v>
                </c:pt>
              </c:numCache>
            </c:numRef>
          </c:xVal>
          <c:yVal>
            <c:numRef>
              <c:f>'BAC for Independent Groups'!$J$3:$J$32</c:f>
              <c:numCache>
                <c:formatCode>General</c:formatCode>
                <c:ptCount val="30"/>
                <c:pt idx="0">
                  <c:v>-0.61103504735556946</c:v>
                </c:pt>
                <c:pt idx="1">
                  <c:v>0.20951251758484224</c:v>
                </c:pt>
                <c:pt idx="2">
                  <c:v>-4.3144616803346025E-2</c:v>
                </c:pt>
                <c:pt idx="3">
                  <c:v>0.18269416253805115</c:v>
                </c:pt>
                <c:pt idx="4">
                  <c:v>-0.41107362814704018</c:v>
                </c:pt>
                <c:pt idx="5">
                  <c:v>-0.33203005537755104</c:v>
                </c:pt>
                <c:pt idx="6">
                  <c:v>0.18834013202158584</c:v>
                </c:pt>
                <c:pt idx="7">
                  <c:v>0.2829101208707967</c:v>
                </c:pt>
                <c:pt idx="8">
                  <c:v>0.38265558174658043</c:v>
                </c:pt>
                <c:pt idx="9">
                  <c:v>0.15117083292164768</c:v>
                </c:pt>
                <c:pt idx="10">
                  <c:v>-0.62905509995718489</c:v>
                </c:pt>
                <c:pt idx="11">
                  <c:v>-0.50813725351814476</c:v>
                </c:pt>
                <c:pt idx="12">
                  <c:v>-0.57635938477752546</c:v>
                </c:pt>
                <c:pt idx="13">
                  <c:v>0.32276125547541357</c:v>
                </c:pt>
                <c:pt idx="14">
                  <c:v>-5.0813725351814831E-2</c:v>
                </c:pt>
                <c:pt idx="15">
                  <c:v>-4.5638253325241074E-2</c:v>
                </c:pt>
                <c:pt idx="16">
                  <c:v>-3.9992283841706389E-2</c:v>
                </c:pt>
                <c:pt idx="17">
                  <c:v>0.92546849784276919</c:v>
                </c:pt>
                <c:pt idx="18">
                  <c:v>0.65163897789132452</c:v>
                </c:pt>
                <c:pt idx="19">
                  <c:v>-4.9872730437892088E-2</c:v>
                </c:pt>
                <c:pt idx="20">
                  <c:v>-0.89865014279597766</c:v>
                </c:pt>
                <c:pt idx="21">
                  <c:v>-0.69492474393175874</c:v>
                </c:pt>
                <c:pt idx="22">
                  <c:v>-0.46391049256378736</c:v>
                </c:pt>
                <c:pt idx="23">
                  <c:v>-0.44509059428533737</c:v>
                </c:pt>
                <c:pt idx="24">
                  <c:v>-0.36228304186015858</c:v>
                </c:pt>
                <c:pt idx="25">
                  <c:v>-0.30582334702480907</c:v>
                </c:pt>
                <c:pt idx="26">
                  <c:v>0.81537209291383794</c:v>
                </c:pt>
                <c:pt idx="27">
                  <c:v>0.49355183235234668</c:v>
                </c:pt>
                <c:pt idx="28">
                  <c:v>0.95510983763132806</c:v>
                </c:pt>
                <c:pt idx="29">
                  <c:v>0.90664859956431965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2-4492-9787-9440FF386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83296"/>
        <c:axId val="261385216"/>
      </c:scatterChart>
      <c:valAx>
        <c:axId val="261383296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261385216"/>
        <c:crosses val="autoZero"/>
        <c:crossBetween val="midCat"/>
        <c:majorUnit val="0.5"/>
      </c:valAx>
      <c:valAx>
        <c:axId val="261385216"/>
        <c:scaling>
          <c:orientation val="minMax"/>
          <c:max val="1"/>
          <c:min val="-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61383296"/>
        <c:crossesAt val="0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1</c:v>
          </c:tx>
          <c:spPr>
            <a:ln w="28575">
              <a:noFill/>
            </a:ln>
          </c:spPr>
          <c:marker>
            <c:symbol val="circle"/>
            <c:size val="15"/>
            <c:spPr>
              <a:solidFill>
                <a:srgbClr val="00206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'Chart Data'!$B$3:$B$12</c:f>
              <c:numCache>
                <c:formatCode>General</c:formatCode>
                <c:ptCount val="10"/>
                <c:pt idx="0">
                  <c:v>0.32574551628992887</c:v>
                </c:pt>
                <c:pt idx="1">
                  <c:v>0.61514379709222156</c:v>
                </c:pt>
                <c:pt idx="2">
                  <c:v>-6.3939297463652775E-2</c:v>
                </c:pt>
                <c:pt idx="3">
                  <c:v>-6.3939297463652775E-2</c:v>
                </c:pt>
                <c:pt idx="4">
                  <c:v>-3.6241112172344353E-2</c:v>
                </c:pt>
                <c:pt idx="5">
                  <c:v>0.23501008171495294</c:v>
                </c:pt>
                <c:pt idx="6">
                  <c:v>0.64284198238352996</c:v>
                </c:pt>
                <c:pt idx="7">
                  <c:v>0.69632813329088428</c:v>
                </c:pt>
                <c:pt idx="8">
                  <c:v>0.40692985248859215</c:v>
                </c:pt>
                <c:pt idx="9">
                  <c:v>0.47092221160989078</c:v>
                </c:pt>
              </c:numCache>
            </c:numRef>
          </c:xVal>
          <c:yVal>
            <c:numRef>
              <c:f>'Chart Data'!$C$3:$C$12</c:f>
              <c:numCache>
                <c:formatCode>General</c:formatCode>
                <c:ptCount val="10"/>
                <c:pt idx="0">
                  <c:v>-0.61052743287700317</c:v>
                </c:pt>
                <c:pt idx="1">
                  <c:v>-0.61052743287700317</c:v>
                </c:pt>
                <c:pt idx="2">
                  <c:v>-0.22179772896105279</c:v>
                </c:pt>
                <c:pt idx="3">
                  <c:v>4.5633025575719521E-3</c:v>
                </c:pt>
                <c:pt idx="4">
                  <c:v>7.7151650217552714E-2</c:v>
                </c:pt>
                <c:pt idx="5">
                  <c:v>-0.26668789132972515</c:v>
                </c:pt>
                <c:pt idx="6">
                  <c:v>-6.8025045102409004E-2</c:v>
                </c:pt>
                <c:pt idx="7">
                  <c:v>-0.1587604796773851</c:v>
                </c:pt>
                <c:pt idx="8">
                  <c:v>-0.38512151119600968</c:v>
                </c:pt>
                <c:pt idx="9">
                  <c:v>-0.48445293430966785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2-4090-BB6F-5A8187C8608F}"/>
            </c:ext>
          </c:extLst>
        </c:ser>
        <c:ser>
          <c:idx val="1"/>
          <c:order val="1"/>
          <c:tx>
            <c:v>Group 2</c:v>
          </c:tx>
          <c:spPr>
            <a:ln w="28575">
              <a:noFill/>
            </a:ln>
          </c:spPr>
          <c:marker>
            <c:symbol val="circle"/>
            <c:size val="15"/>
            <c:spPr>
              <a:solidFill>
                <a:srgbClr val="C0000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'Chart Data'!$B$13:$B$22</c:f>
              <c:numCache>
                <c:formatCode>General</c:formatCode>
                <c:ptCount val="10"/>
                <c:pt idx="0">
                  <c:v>-0.37817043404435935</c:v>
                </c:pt>
                <c:pt idx="1">
                  <c:v>-0.12506632707205781</c:v>
                </c:pt>
                <c:pt idx="2">
                  <c:v>0.10129470444656696</c:v>
                </c:pt>
                <c:pt idx="3">
                  <c:v>-0.28743499946938345</c:v>
                </c:pt>
                <c:pt idx="4">
                  <c:v>-0.5414942162793166</c:v>
                </c:pt>
                <c:pt idx="5">
                  <c:v>-1.6183805582086569E-2</c:v>
                </c:pt>
                <c:pt idx="6">
                  <c:v>-0.14321341398705315</c:v>
                </c:pt>
                <c:pt idx="7">
                  <c:v>-0.32372917329937412</c:v>
                </c:pt>
                <c:pt idx="8">
                  <c:v>-0.34187626021436862</c:v>
                </c:pt>
                <c:pt idx="9">
                  <c:v>-0.36002334712936401</c:v>
                </c:pt>
              </c:numCache>
            </c:numRef>
          </c:xVal>
          <c:yVal>
            <c:numRef>
              <c:f>'Chart Data'!$C$13:$C$22</c:f>
              <c:numCache>
                <c:formatCode>General</c:formatCode>
                <c:ptCount val="10"/>
                <c:pt idx="0">
                  <c:v>-0.48827337366019308</c:v>
                </c:pt>
                <c:pt idx="1">
                  <c:v>-0.31635360288655401</c:v>
                </c:pt>
                <c:pt idx="2">
                  <c:v>-8.8082351692666261E-3</c:v>
                </c:pt>
                <c:pt idx="3">
                  <c:v>0.36272949166931989</c:v>
                </c:pt>
                <c:pt idx="4">
                  <c:v>-5.3698397537939188E-2</c:v>
                </c:pt>
                <c:pt idx="5">
                  <c:v>-7.1845484452934316E-2</c:v>
                </c:pt>
                <c:pt idx="6">
                  <c:v>-8.8082351692666261E-3</c:v>
                </c:pt>
                <c:pt idx="7">
                  <c:v>1.8889950122041782E-2</c:v>
                </c:pt>
                <c:pt idx="8">
                  <c:v>-0.14443383211291527</c:v>
                </c:pt>
                <c:pt idx="9">
                  <c:v>-0.28865541759524577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2-4090-BB6F-5A8187C8608F}"/>
            </c:ext>
          </c:extLst>
        </c:ser>
        <c:ser>
          <c:idx val="2"/>
          <c:order val="2"/>
          <c:tx>
            <c:v>Group 3</c:v>
          </c:tx>
          <c:spPr>
            <a:ln w="28575">
              <a:noFill/>
            </a:ln>
          </c:spPr>
          <c:marker>
            <c:symbol val="circle"/>
            <c:size val="15"/>
            <c:spPr>
              <a:solidFill>
                <a:schemeClr val="accent3">
                  <a:lumMod val="75000"/>
                  <a:alpha val="50000"/>
                </a:schemeClr>
              </a:solidFill>
              <a:ln>
                <a:noFill/>
              </a:ln>
            </c:spPr>
          </c:marker>
          <c:xVal>
            <c:numRef>
              <c:f>'Chart Data'!$B$23:$B$32</c:f>
              <c:numCache>
                <c:formatCode>General</c:formatCode>
                <c:ptCount val="10"/>
                <c:pt idx="0">
                  <c:v>-0.48896317520959343</c:v>
                </c:pt>
                <c:pt idx="1">
                  <c:v>-0.31513318476069185</c:v>
                </c:pt>
                <c:pt idx="2">
                  <c:v>-0.45744455056775968</c:v>
                </c:pt>
                <c:pt idx="3">
                  <c:v>-0.20338533375782653</c:v>
                </c:pt>
                <c:pt idx="4">
                  <c:v>0.26270826700626093</c:v>
                </c:pt>
                <c:pt idx="5">
                  <c:v>6.4045420778945455E-2</c:v>
                </c:pt>
                <c:pt idx="6">
                  <c:v>0.12612756022498126</c:v>
                </c:pt>
                <c:pt idx="7">
                  <c:v>-9.7368141780749373E-2</c:v>
                </c:pt>
                <c:pt idx="8">
                  <c:v>-0.10978456966995655</c:v>
                </c:pt>
                <c:pt idx="9">
                  <c:v>-0.18428313700520038</c:v>
                </c:pt>
              </c:numCache>
            </c:numRef>
          </c:xVal>
          <c:yVal>
            <c:numRef>
              <c:f>'Chart Data'!$C$23:$C$32</c:f>
              <c:numCache>
                <c:formatCode>General</c:formatCode>
                <c:ptCount val="10"/>
                <c:pt idx="0">
                  <c:v>1.0676005518412395</c:v>
                </c:pt>
                <c:pt idx="1">
                  <c:v>0.88803990236654984</c:v>
                </c:pt>
                <c:pt idx="2">
                  <c:v>0.55279634935795352</c:v>
                </c:pt>
                <c:pt idx="3">
                  <c:v>5.0408574763875308E-2</c:v>
                </c:pt>
                <c:pt idx="4">
                  <c:v>0.36081927199405694</c:v>
                </c:pt>
                <c:pt idx="5">
                  <c:v>0.36654993101984523</c:v>
                </c:pt>
                <c:pt idx="6">
                  <c:v>0.49071420991191772</c:v>
                </c:pt>
                <c:pt idx="7">
                  <c:v>0.24907142099119164</c:v>
                </c:pt>
                <c:pt idx="8">
                  <c:v>0.44773426721850795</c:v>
                </c:pt>
                <c:pt idx="9">
                  <c:v>0.67122996922423861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4090-BB6F-5A8187C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67520"/>
        <c:axId val="138669440"/>
      </c:scatterChart>
      <c:valAx>
        <c:axId val="138667520"/>
        <c:scaling>
          <c:orientation val="minMax"/>
          <c:max val="1.5"/>
          <c:min val="-1.5"/>
        </c:scaling>
        <c:delete val="0"/>
        <c:axPos val="b"/>
        <c:numFmt formatCode="General" sourceLinked="1"/>
        <c:majorTickMark val="out"/>
        <c:minorTickMark val="none"/>
        <c:tickLblPos val="low"/>
        <c:crossAx val="138669440"/>
        <c:crosses val="autoZero"/>
        <c:crossBetween val="midCat"/>
      </c:valAx>
      <c:valAx>
        <c:axId val="138669440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low"/>
        <c:crossAx val="1386675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049568109960056"/>
          <c:y val="4.6400999630984173E-2"/>
          <c:w val="0.41658549097663872"/>
          <c:h val="5.5994299078826575E-2"/>
        </c:manualLayout>
      </c:layout>
      <c:overlay val="1"/>
      <c:spPr>
        <a:solidFill>
          <a:schemeClr val="bg1"/>
        </a:solidFill>
        <a:ln w="12700" cap="rnd">
          <a:solidFill>
            <a:schemeClr val="tx1"/>
          </a:solidFill>
        </a:ln>
        <a:effectLst>
          <a:glow rad="12700">
            <a:schemeClr val="tx1"/>
          </a:glow>
        </a:effectLst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1</c:v>
          </c:tx>
          <c:spPr>
            <a:ln w="28575">
              <a:noFill/>
            </a:ln>
          </c:spPr>
          <c:marker>
            <c:symbol val="circle"/>
            <c:size val="15"/>
            <c:spPr>
              <a:solidFill>
                <a:srgbClr val="00206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'Chart Data'!$D$3:$D$12</c:f>
              <c:numCache>
                <c:formatCode>General</c:formatCode>
                <c:ptCount val="10"/>
                <c:pt idx="0">
                  <c:v>0.35884841042434168</c:v>
                </c:pt>
                <c:pt idx="1">
                  <c:v>0.83169835467039288</c:v>
                </c:pt>
                <c:pt idx="2">
                  <c:v>0.27980483765485253</c:v>
                </c:pt>
                <c:pt idx="3">
                  <c:v>0.25863245209159658</c:v>
                </c:pt>
                <c:pt idx="4">
                  <c:v>1.679675921351631E-2</c:v>
                </c:pt>
                <c:pt idx="5">
                  <c:v>-0.11447203127867134</c:v>
                </c:pt>
                <c:pt idx="6">
                  <c:v>-0.1356444168419273</c:v>
                </c:pt>
                <c:pt idx="7">
                  <c:v>-0.14081988886850105</c:v>
                </c:pt>
                <c:pt idx="8">
                  <c:v>-0.39347702325668976</c:v>
                </c:pt>
                <c:pt idx="9">
                  <c:v>-0.96136745380891231</c:v>
                </c:pt>
              </c:numCache>
            </c:numRef>
          </c:xVal>
          <c:yVal>
            <c:numRef>
              <c:f>'Chart Data'!$E$3:$E$12</c:f>
              <c:numCache>
                <c:formatCode>General</c:formatCode>
                <c:ptCount val="10"/>
                <c:pt idx="0">
                  <c:v>0.61103504735556946</c:v>
                </c:pt>
                <c:pt idx="1">
                  <c:v>-0.20951251758484224</c:v>
                </c:pt>
                <c:pt idx="2">
                  <c:v>4.3144616803346025E-2</c:v>
                </c:pt>
                <c:pt idx="3">
                  <c:v>-0.18269416253805115</c:v>
                </c:pt>
                <c:pt idx="4">
                  <c:v>0.41107362814704018</c:v>
                </c:pt>
                <c:pt idx="5">
                  <c:v>0.33203005537755104</c:v>
                </c:pt>
                <c:pt idx="6">
                  <c:v>-0.18834013202158584</c:v>
                </c:pt>
                <c:pt idx="7">
                  <c:v>-0.2829101208707967</c:v>
                </c:pt>
                <c:pt idx="8">
                  <c:v>-0.38265558174658043</c:v>
                </c:pt>
                <c:pt idx="9">
                  <c:v>-0.15117083292164768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F4A-9181-BEE79EA42FA4}"/>
            </c:ext>
          </c:extLst>
        </c:ser>
        <c:ser>
          <c:idx val="1"/>
          <c:order val="1"/>
          <c:tx>
            <c:v>Group 2</c:v>
          </c:tx>
          <c:spPr>
            <a:ln w="28575">
              <a:noFill/>
            </a:ln>
          </c:spPr>
          <c:marker>
            <c:symbol val="circle"/>
            <c:size val="15"/>
            <c:spPr>
              <a:solidFill>
                <a:srgbClr val="C0000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'Chart Data'!$D$13:$D$22</c:f>
              <c:numCache>
                <c:formatCode>General</c:formatCode>
                <c:ptCount val="10"/>
                <c:pt idx="0">
                  <c:v>0.74564436979217952</c:v>
                </c:pt>
                <c:pt idx="1">
                  <c:v>0.44593748970786606</c:v>
                </c:pt>
                <c:pt idx="2">
                  <c:v>-0.24334128474035843</c:v>
                </c:pt>
                <c:pt idx="3">
                  <c:v>0.42994057617118386</c:v>
                </c:pt>
                <c:pt idx="4">
                  <c:v>-0.43765673446535303</c:v>
                </c:pt>
                <c:pt idx="5">
                  <c:v>-0.12948090015573577</c:v>
                </c:pt>
                <c:pt idx="6">
                  <c:v>-0.18499960007716254</c:v>
                </c:pt>
                <c:pt idx="7">
                  <c:v>0.13870265031217421</c:v>
                </c:pt>
                <c:pt idx="8">
                  <c:v>-0.60280134185874878</c:v>
                </c:pt>
                <c:pt idx="9">
                  <c:v>-0.1619452246860611</c:v>
                </c:pt>
              </c:numCache>
            </c:numRef>
          </c:xVal>
          <c:yVal>
            <c:numRef>
              <c:f>'Chart Data'!$E$13:$E$22</c:f>
              <c:numCache>
                <c:formatCode>General</c:formatCode>
                <c:ptCount val="10"/>
                <c:pt idx="0">
                  <c:v>0.62905509995718489</c:v>
                </c:pt>
                <c:pt idx="1">
                  <c:v>0.50813725351814476</c:v>
                </c:pt>
                <c:pt idx="2">
                  <c:v>0.57635938477752546</c:v>
                </c:pt>
                <c:pt idx="3">
                  <c:v>-0.32276125547541357</c:v>
                </c:pt>
                <c:pt idx="4">
                  <c:v>5.0813725351814831E-2</c:v>
                </c:pt>
                <c:pt idx="5">
                  <c:v>4.5638253325241074E-2</c:v>
                </c:pt>
                <c:pt idx="6">
                  <c:v>3.9992283841706389E-2</c:v>
                </c:pt>
                <c:pt idx="7">
                  <c:v>-0.92546849784276919</c:v>
                </c:pt>
                <c:pt idx="8">
                  <c:v>-0.65163897789132452</c:v>
                </c:pt>
                <c:pt idx="9">
                  <c:v>4.9872730437892088E-2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F4A-9181-BEE79EA42FA4}"/>
            </c:ext>
          </c:extLst>
        </c:ser>
        <c:ser>
          <c:idx val="2"/>
          <c:order val="2"/>
          <c:tx>
            <c:v>Group 3</c:v>
          </c:tx>
          <c:spPr>
            <a:ln w="28575">
              <a:noFill/>
            </a:ln>
          </c:spPr>
          <c:marker>
            <c:symbol val="circle"/>
            <c:size val="15"/>
            <c:spPr>
              <a:solidFill>
                <a:schemeClr val="accent3">
                  <a:lumMod val="75000"/>
                  <a:alpha val="50000"/>
                </a:schemeClr>
              </a:solidFill>
              <a:ln>
                <a:noFill/>
              </a:ln>
            </c:spPr>
          </c:marker>
          <c:xVal>
            <c:numRef>
              <c:f>'Chart Data'!$D$23:$D$32</c:f>
              <c:numCache>
                <c:formatCode>General</c:formatCode>
                <c:ptCount val="10"/>
                <c:pt idx="0">
                  <c:v>0.15992208562112786</c:v>
                </c:pt>
                <c:pt idx="1">
                  <c:v>-0.28516850866420995</c:v>
                </c:pt>
                <c:pt idx="2">
                  <c:v>0.31048127184872598</c:v>
                </c:pt>
                <c:pt idx="3">
                  <c:v>0.20838332368813717</c:v>
                </c:pt>
                <c:pt idx="4">
                  <c:v>4.6579248239169146E-3</c:v>
                </c:pt>
                <c:pt idx="5">
                  <c:v>-0.65497950983574782</c:v>
                </c:pt>
                <c:pt idx="6">
                  <c:v>0.44175006234091363</c:v>
                </c:pt>
                <c:pt idx="7">
                  <c:v>-0.23953025533896977</c:v>
                </c:pt>
                <c:pt idx="8">
                  <c:v>0.10910836026931392</c:v>
                </c:pt>
                <c:pt idx="9">
                  <c:v>-5.4624754753199056E-2</c:v>
                </c:pt>
              </c:numCache>
            </c:numRef>
          </c:xVal>
          <c:yVal>
            <c:numRef>
              <c:f>'Chart Data'!$E$23:$E$32</c:f>
              <c:numCache>
                <c:formatCode>General</c:formatCode>
                <c:ptCount val="10"/>
                <c:pt idx="0">
                  <c:v>0.89865014279597766</c:v>
                </c:pt>
                <c:pt idx="1">
                  <c:v>0.69492474393175874</c:v>
                </c:pt>
                <c:pt idx="2">
                  <c:v>0.46391049256378736</c:v>
                </c:pt>
                <c:pt idx="3">
                  <c:v>0.44509059428533737</c:v>
                </c:pt>
                <c:pt idx="4">
                  <c:v>0.36228304186015858</c:v>
                </c:pt>
                <c:pt idx="5">
                  <c:v>0.30582334702480907</c:v>
                </c:pt>
                <c:pt idx="6">
                  <c:v>-0.81537209291383794</c:v>
                </c:pt>
                <c:pt idx="7">
                  <c:v>-0.49355183235234668</c:v>
                </c:pt>
                <c:pt idx="8">
                  <c:v>-0.95510983763132806</c:v>
                </c:pt>
                <c:pt idx="9">
                  <c:v>-0.90664859956431965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A-4F4A-9181-BEE79EA4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9824"/>
        <c:axId val="139311744"/>
      </c:scatterChart>
      <c:valAx>
        <c:axId val="139309824"/>
        <c:scaling>
          <c:orientation val="minMax"/>
          <c:max val="1.5"/>
          <c:min val="-1.5"/>
        </c:scaling>
        <c:delete val="0"/>
        <c:axPos val="b"/>
        <c:numFmt formatCode="General" sourceLinked="1"/>
        <c:majorTickMark val="out"/>
        <c:minorTickMark val="none"/>
        <c:tickLblPos val="low"/>
        <c:crossAx val="139311744"/>
        <c:crosses val="autoZero"/>
        <c:crossBetween val="midCat"/>
      </c:valAx>
      <c:valAx>
        <c:axId val="139311744"/>
        <c:scaling>
          <c:orientation val="minMax"/>
          <c:max val="1.5"/>
          <c:min val="-1.5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low"/>
        <c:crossAx val="1393098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049568109960056"/>
          <c:y val="4.6400999630984173E-2"/>
          <c:w val="0.41658549097663872"/>
          <c:h val="5.5994299078826575E-2"/>
        </c:manualLayout>
      </c:layout>
      <c:overlay val="1"/>
      <c:spPr>
        <a:solidFill>
          <a:schemeClr val="bg1"/>
        </a:solidFill>
        <a:ln w="12700" cap="rnd">
          <a:solidFill>
            <a:schemeClr val="tx1"/>
          </a:solidFill>
        </a:ln>
        <a:effectLst>
          <a:glow rad="12700">
            <a:schemeClr val="tx1"/>
          </a:glow>
        </a:effectLst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231775</xdr:colOff>
      <xdr:row>9</xdr:row>
      <xdr:rowOff>82550</xdr:rowOff>
    </xdr:from>
    <xdr:to>
      <xdr:col>17</xdr:col>
      <xdr:colOff>111125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533400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23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494" cy="62951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2981.48166435185" createdVersion="4" refreshedVersion="4" minRefreshableVersion="3" recordCount="36" xr:uid="{00000000-000A-0000-FFFF-FFFF0E000000}">
  <cacheSource type="worksheet">
    <worksheetSource ref="A2:K38" sheet="BAC for Overlaid Samples"/>
  </cacheSource>
  <cacheFields count="11">
    <cacheField name="Grou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istance" numFmtId="0">
      <sharedItems containsSemiMixedTypes="0" containsString="0" containsNumber="1" containsInteger="1" minValue="100" maxValue="100"/>
    </cacheField>
    <cacheField name="Aim X" numFmtId="0">
      <sharedItems containsSemiMixedTypes="0" containsString="0" containsNumber="1" minValue="2.0419999999999998" maxValue="6.3609999999999998"/>
    </cacheField>
    <cacheField name="Aim Y" numFmtId="0">
      <sharedItems containsSemiMixedTypes="0" containsString="0" containsNumber="1" minValue="1.867" maxValue="8.3330000000000002"/>
    </cacheField>
    <cacheField name="Impact X" numFmtId="0">
      <sharedItems containsSemiMixedTypes="0" containsString="0" containsNumber="1" minValue="2.1019999999999999" maxValue="6.6139999999999999"/>
    </cacheField>
    <cacheField name="Impact Y" numFmtId="0">
      <sharedItems containsSemiMixedTypes="0" containsString="0" containsNumber="1" minValue="1.3069999999999999" maxValue="8.66"/>
    </cacheField>
    <cacheField name="Point X" numFmtId="0">
      <sharedItems containsSemiMixedTypes="0" containsString="0" containsNumber="1" minValue="-0.40114613180515757" maxValue="0.83667621776504331"/>
    </cacheField>
    <cacheField name="Point Y" numFmtId="0">
      <sharedItems containsSemiMixedTypes="0" containsString="0" containsNumber="1" minValue="-1.2397325692454633" maxValue="0.43839541547277949"/>
    </cacheField>
    <cacheField name="Center X" numFmtId="0">
      <sharedItems containsSemiMixedTypes="0" containsString="0" containsNumber="1" minValue="0.14034808447415906" maxValue="0.14034808447415906"/>
    </cacheField>
    <cacheField name="Center Y" numFmtId="0">
      <sharedItems containsSemiMixedTypes="0" containsString="0" containsNumber="1" minValue="-0.17213201740422371" maxValue="-0.17213201740422371"/>
    </cacheField>
    <cacheField name="Radius^2" numFmtId="0">
      <sharedItems containsSemiMixedTypes="0" containsString="0" containsNumber="1" minValue="4.1090574903774168E-3" maxValue="1.3788559250027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2981.518741435182" createdVersion="4" refreshedVersion="4" minRefreshableVersion="3" recordCount="30" xr:uid="{00000000-000A-0000-FFFF-FFFF18000000}">
  <cacheSource type="worksheet">
    <worksheetSource ref="A2:K32" sheet="BAC for Independent Groups"/>
  </cacheSource>
  <cacheFields count="11">
    <cacheField name="Group" numFmtId="0">
      <sharedItems containsSemiMixedTypes="0" containsString="0" containsNumber="1" containsInteger="1" minValue="1" maxValue="3" count="3">
        <n v="1"/>
        <n v="2"/>
        <n v="3"/>
      </sharedItems>
    </cacheField>
    <cacheField name="Distance" numFmtId="0">
      <sharedItems containsSemiMixedTypes="0" containsString="0" containsNumber="1" containsInteger="1" minValue="203" maxValue="203"/>
    </cacheField>
    <cacheField name="Point X" numFmtId="0">
      <sharedItems containsSemiMixedTypes="0" containsString="0" containsNumber="1" minValue="8.5150000000000006" maxValue="28.760999999999999"/>
    </cacheField>
    <cacheField name="Point Y" numFmtId="0">
      <sharedItems containsSemiMixedTypes="0" containsString="0" containsNumber="1" minValue="4.43" maxValue="9.2530000000000001"/>
    </cacheField>
    <cacheField name="Point X2" numFmtId="0">
      <sharedItems containsSemiMixedTypes="0" containsString="0" containsNumber="1" minValue="4.0062858460250022" maxValue="13.53197735966237"/>
    </cacheField>
    <cacheField name="Point Y2" numFmtId="0">
      <sharedItems containsSemiMixedTypes="0" containsString="0" containsNumber="1" minValue="2.0843037343383157" maxValue="4.3535129692624013"/>
    </cacheField>
    <cacheField name="Center X" numFmtId="0">
      <sharedItems containsSemiMixedTypes="0" containsString="0" containsNumber="1" minValue="4.9676532998339145" maxValue="13.090227297321457"/>
    </cacheField>
    <cacheField name="Center Y" numFmtId="0">
      <sharedItems containsSemiMixedTypes="0" containsString="0" containsNumber="1" minValue="3.0394135719696438" maxValue="3.7424779219068318"/>
    </cacheField>
    <cacheField name="Chart X" numFmtId="0">
      <sharedItems containsSemiMixedTypes="0" containsString="0" containsNumber="1" minValue="-0.96136745380891231" maxValue="0.83169835467039288"/>
    </cacheField>
    <cacheField name="Chart Y" numFmtId="0">
      <sharedItems containsSemiMixedTypes="0" containsString="0" containsNumber="1" minValue="-0.95510983763132806" maxValue="0.89865014279597766"/>
    </cacheField>
    <cacheField name="Radius^2" numFmtId="0">
      <sharedItems containsSemiMixedTypes="0" containsString="0" containsNumber="1" minValue="1.8848153671718493E-2" maxValue="0.951695844984920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100"/>
    <n v="2.0419999999999998"/>
    <n v="1.871"/>
    <n v="2.5299999999999998"/>
    <n v="2.33"/>
    <n v="0.4660936007640879"/>
    <n v="0.43839541547277949"/>
    <n v="0.14034808447415906"/>
    <n v="-0.17213201740422371"/>
    <n v="0.47885388767837589"/>
  </r>
  <r>
    <x v="0"/>
    <n v="100"/>
    <n v="2.0419999999999998"/>
    <n v="1.871"/>
    <n v="2.8330000000000002"/>
    <n v="2.33"/>
    <n v="0.75549188156638059"/>
    <n v="0.43839541547277949"/>
    <n v="0.14034808447415906"/>
    <n v="-0.17213201740422371"/>
    <n v="0.75114563739641982"/>
  </r>
  <r>
    <x v="0"/>
    <n v="100"/>
    <n v="2.0419999999999998"/>
    <n v="1.871"/>
    <n v="2.1219999999999999"/>
    <n v="1.923"/>
    <n v="7.6408787010506282E-2"/>
    <n v="4.9665711556829084E-2"/>
    <n v="0.14034808447415906"/>
    <n v="-0.17213201740422371"/>
    <n v="5.3282466332426115E-2"/>
  </r>
  <r>
    <x v="0"/>
    <n v="100"/>
    <n v="2.0419999999999998"/>
    <n v="1.871"/>
    <n v="2.1219999999999999"/>
    <n v="1.6859999999999999"/>
    <n v="7.6408787010506282E-2"/>
    <n v="-0.17669531996179566"/>
    <n v="0.14034808447415906"/>
    <n v="-0.17213201740422371"/>
    <n v="4.1090574903774168E-3"/>
  </r>
  <r>
    <x v="0"/>
    <n v="100"/>
    <n v="2.0419999999999998"/>
    <n v="1.871"/>
    <n v="2.1509999999999998"/>
    <n v="1.61"/>
    <n v="0.1041069723018147"/>
    <n v="-0.24928366762177642"/>
    <n v="0.14034808447415906"/>
    <n v="-0.17213201740422371"/>
    <n v="7.2657953427800476E-3"/>
  </r>
  <r>
    <x v="0"/>
    <n v="100"/>
    <n v="2.0419999999999998"/>
    <n v="1.871"/>
    <n v="2.4350000000000001"/>
    <n v="1.97"/>
    <n v="0.375358166189112"/>
    <n v="9.455587392550141E-2"/>
    <n v="0.14034808447415906"/>
    <n v="-0.17213201740422371"/>
    <n v="0.12635216988956416"/>
  </r>
  <r>
    <x v="0"/>
    <n v="100"/>
    <n v="2.0419999999999998"/>
    <n v="1.871"/>
    <n v="2.8620000000000001"/>
    <n v="1.762"/>
    <n v="0.78319006685768899"/>
    <n v="-0.1041069723018147"/>
    <n v="0.14034808447415906"/>
    <n v="-0.17213201740422371"/>
    <n v="0.41787322107597141"/>
  </r>
  <r>
    <x v="0"/>
    <n v="100"/>
    <n v="2.0419999999999998"/>
    <n v="1.871"/>
    <n v="2.9180000000000001"/>
    <n v="1.857"/>
    <n v="0.83667621776504331"/>
    <n v="-1.3371537726838599E-2"/>
    <n v="0.14034808447415906"/>
    <n v="-0.17213201740422371"/>
    <n v="0.51007775911976094"/>
  </r>
  <r>
    <x v="0"/>
    <n v="100"/>
    <n v="2.0419999999999998"/>
    <n v="1.871"/>
    <n v="2.6150000000000002"/>
    <n v="2.0939999999999999"/>
    <n v="0.54727793696275118"/>
    <n v="0.21298949379178594"/>
    <n v="0.14034808447415906"/>
    <n v="-0.17213201740422371"/>
    <n v="0.31391048323228554"/>
  </r>
  <r>
    <x v="0"/>
    <n v="100"/>
    <n v="2.0419999999999998"/>
    <n v="1.871"/>
    <n v="2.6819999999999999"/>
    <n v="2.198"/>
    <n v="0.61127029608404981"/>
    <n v="0.31232091690544411"/>
    <n v="0.14034808447415906"/>
    <n v="-0.17213201740422371"/>
    <n v="0.45646237494879816"/>
  </r>
  <r>
    <x v="1"/>
    <n v="100"/>
    <n v="6.3609999999999998"/>
    <n v="1.867"/>
    <n v="6.1120000000000001"/>
    <n v="2.198"/>
    <n v="-0.23782234957020026"/>
    <n v="0.3161413562559694"/>
    <n v="0.14034808447415906"/>
    <n v="-0.17213201740422371"/>
    <n v="0.38142376461080568"/>
  </r>
  <r>
    <x v="1"/>
    <n v="100"/>
    <n v="6.3609999999999998"/>
    <n v="1.867"/>
    <n v="6.3769999999999998"/>
    <n v="2.0179999999999998"/>
    <n v="1.5281757402101257E-2"/>
    <n v="0.1442215854823303"/>
    <n v="0.14034808447415906"/>
    <n v="-0.17213201740422371"/>
    <n v="0.11572118822659845"/>
  </r>
  <r>
    <x v="1"/>
    <n v="100"/>
    <n v="6.3609999999999998"/>
    <n v="1.867"/>
    <n v="6.6139999999999999"/>
    <n v="1.696"/>
    <n v="0.24164278892072602"/>
    <n v="-0.16332378223495708"/>
    <n v="0.14034808447415906"/>
    <n v="-0.17213201740422371"/>
    <n v="1.0338202155714458E-2"/>
  </r>
  <r>
    <x v="1"/>
    <n v="100"/>
    <n v="6.3609999999999998"/>
    <n v="1.867"/>
    <n v="6.2069999999999999"/>
    <n v="1.3069999999999999"/>
    <n v="-0.14708691499522439"/>
    <n v="-0.53486150907354357"/>
    <n v="0.14034808447415906"/>
    <n v="-0.17213201740422371"/>
    <n v="0.21419156304664766"/>
  </r>
  <r>
    <x v="1"/>
    <n v="100"/>
    <n v="6.3609999999999998"/>
    <n v="1.867"/>
    <n v="5.9409999999999998"/>
    <n v="1.7430000000000001"/>
    <n v="-0.40114613180515757"/>
    <n v="-0.11843361986628452"/>
    <n v="0.14034808447415906"/>
    <n v="-0.17213201740422371"/>
    <n v="0.29609950416209385"/>
  </r>
  <r>
    <x v="1"/>
    <n v="100"/>
    <n v="6.3609999999999998"/>
    <n v="1.867"/>
    <n v="6.4909999999999997"/>
    <n v="1.762"/>
    <n v="0.12416427889207249"/>
    <n v="-0.10028653295128939"/>
    <n v="0.14034808447415906"/>
    <n v="-0.17213201740422371"/>
    <n v="5.4236891993956031E-3"/>
  </r>
  <r>
    <x v="1"/>
    <n v="100"/>
    <n v="6.3609999999999998"/>
    <n v="1.867"/>
    <n v="6.3579999999999997"/>
    <n v="1.696"/>
    <n v="-2.8653295128940916E-3"/>
    <n v="-0.16332378223495708"/>
    <n v="0.14034808447415906"/>
    <n v="-0.17213201740422371"/>
    <n v="2.0587666952624175E-2"/>
  </r>
  <r>
    <x v="1"/>
    <n v="100"/>
    <n v="6.3609999999999998"/>
    <n v="1.867"/>
    <n v="6.1689999999999996"/>
    <n v="1.667"/>
    <n v="-0.18338108882521509"/>
    <n v="-0.19102196752626549"/>
    <n v="0.14034808447415906"/>
    <n v="-0.17213201740422371"/>
    <n v="0.10515740786070943"/>
  </r>
  <r>
    <x v="1"/>
    <n v="100"/>
    <n v="6.3609999999999998"/>
    <n v="1.867"/>
    <n v="6.15"/>
    <n v="1.8380000000000001"/>
    <n v="-0.20152817574020956"/>
    <n v="-2.7698185291308422E-2"/>
    <n v="0.14034808447415906"/>
    <n v="-0.17213201740422371"/>
    <n v="0.13774050915698449"/>
  </r>
  <r>
    <x v="1"/>
    <n v="100"/>
    <n v="6.3609999999999998"/>
    <n v="1.867"/>
    <n v="6.1310000000000002"/>
    <n v="1.9890000000000001"/>
    <n v="-0.21967526265520493"/>
    <n v="0.11652340019102207"/>
    <n v="0.14034808447415906"/>
    <n v="-0.17213201740422371"/>
    <n v="0.21293876058531624"/>
  </r>
  <r>
    <x v="2"/>
    <n v="100"/>
    <n v="4.218"/>
    <n v="5.1059999999999999"/>
    <n v="3.8530000000000002"/>
    <n v="3.8079999999999998"/>
    <n v="-0.3486150907354344"/>
    <n v="-1.2397325692454633"/>
    <n v="0.14034808447415906"/>
    <n v="-0.17213201740422371"/>
    <n v="1.3788559250027668"/>
  </r>
  <r>
    <x v="2"/>
    <n v="100"/>
    <n v="4.218"/>
    <n v="5.1059999999999999"/>
    <n v="4.0350000000000001"/>
    <n v="3.996"/>
    <n v="-0.1747851002865328"/>
    <n v="-1.0601719197707735"/>
    <n v="0.14034808447415906"/>
    <n v="-0.17213201740422371"/>
    <n v="0.88792379233260765"/>
  </r>
  <r>
    <x v="2"/>
    <n v="100"/>
    <n v="4.218"/>
    <n v="5.1059999999999999"/>
    <n v="3.8860000000000001"/>
    <n v="4.3470000000000004"/>
    <n v="-0.31709646609360065"/>
    <n v="-0.7249283667621772"/>
    <n v="0.14034808447415906"/>
    <n v="-0.17213201740422371"/>
    <n v="0.51483932070762028"/>
  </r>
  <r>
    <x v="2"/>
    <n v="100"/>
    <n v="4.218"/>
    <n v="5.1059999999999999"/>
    <n v="4.1520000000000001"/>
    <n v="4.8730000000000002"/>
    <n v="-6.3037249283667468E-2"/>
    <n v="-0.22254059216809902"/>
    <n v="0.14034808447415906"/>
    <n v="-0.17213201740422371"/>
    <n v="4.3906618397507695E-2"/>
  </r>
  <r>
    <x v="2"/>
    <n v="100"/>
    <n v="4.218"/>
    <n v="5.1059999999999999"/>
    <n v="4.6399999999999997"/>
    <n v="4.548"/>
    <n v="0.40305635148042002"/>
    <n v="-0.53295128939828063"/>
    <n v="0.14034808447415906"/>
    <n v="-0.17213201740422371"/>
    <n v="0.19920618059575412"/>
  </r>
  <r>
    <x v="2"/>
    <n v="100"/>
    <n v="4.218"/>
    <n v="5.1059999999999999"/>
    <n v="4.4320000000000004"/>
    <n v="4.5419999999999998"/>
    <n v="0.20439350525310451"/>
    <n v="-0.53868194842406891"/>
    <n v="0.14034808447415906"/>
    <n v="-0.17213201740422371"/>
    <n v="0.13846066785340549"/>
  </r>
  <r>
    <x v="2"/>
    <n v="100"/>
    <n v="4.218"/>
    <n v="5.1059999999999999"/>
    <n v="4.4969999999999999"/>
    <n v="4.4119999999999999"/>
    <n v="0.26647564469914031"/>
    <n v="-0.6628462273161414"/>
    <n v="0.14034808447415906"/>
    <n v="-0.17213201740422371"/>
    <n v="0.25670859725778394"/>
  </r>
  <r>
    <x v="2"/>
    <n v="100"/>
    <n v="4.218"/>
    <n v="5.1059999999999999"/>
    <n v="4.2629999999999999"/>
    <n v="4.665"/>
    <n v="4.2979942693409677E-2"/>
    <n v="-0.42120343839541535"/>
    <n v="0.14034808447415906"/>
    <n v="-0.17213201740422371"/>
    <n v="7.1517127788407533E-2"/>
  </r>
  <r>
    <x v="2"/>
    <n v="100"/>
    <n v="4.218"/>
    <n v="5.1059999999999999"/>
    <n v="4.25"/>
    <n v="4.4569999999999999"/>
    <n v="3.0563514804202514E-2"/>
    <n v="-0.61986628462273163"/>
    <n v="0.14034808447415906"/>
    <n v="-0.17213201740422371"/>
    <n v="0.21251862577931183"/>
  </r>
  <r>
    <x v="2"/>
    <n v="100"/>
    <n v="4.218"/>
    <n v="5.1059999999999999"/>
    <n v="4.1719999999999997"/>
    <n v="4.2229999999999999"/>
    <n v="-4.3935052531041324E-2"/>
    <n v="-0.84336198662846229"/>
    <n v="0.14034808447415906"/>
    <n v="-0.17213201740422371"/>
    <n v="0.48450994616924981"/>
  </r>
  <r>
    <x v="3"/>
    <n v="100"/>
    <n v="2.0840000000000001"/>
    <n v="8.3330000000000002"/>
    <n v="2.1019999999999999"/>
    <n v="8.1959999999999997"/>
    <n v="1.7191977077363703E-2"/>
    <n v="-0.13085004775549233"/>
    <n v="0.14034808447415906"/>
    <n v="-0.17213201740422371"/>
    <n v="1.6871627807209771E-2"/>
  </r>
  <r>
    <x v="3"/>
    <n v="100"/>
    <n v="2.0840000000000001"/>
    <n v="8.3330000000000002"/>
    <n v="2.448"/>
    <n v="8.1419999999999995"/>
    <n v="0.34765998089780314"/>
    <n v="-0.18242597898758428"/>
    <n v="0.14034808447415906"/>
    <n v="-0.17213201740422371"/>
    <n v="4.3084188043847442E-2"/>
  </r>
  <r>
    <x v="3"/>
    <n v="100"/>
    <n v="2.0840000000000001"/>
    <n v="8.3330000000000002"/>
    <n v="2.484"/>
    <n v="8.6509999999999998"/>
    <n v="0.38204393505253098"/>
    <n v="0.30372492836676185"/>
    <n v="0.14034808447415906"/>
    <n v="-0.17213201740422371"/>
    <n v="0.28485671702529342"/>
  </r>
  <r>
    <x v="3"/>
    <n v="100"/>
    <n v="2.0840000000000001"/>
    <n v="8.3330000000000002"/>
    <n v="2.302"/>
    <n v="8.66"/>
    <n v="0.20821394460362941"/>
    <n v="0.31232091690544411"/>
    <n v="0.14034808447415906"/>
    <n v="-0.17213201740422371"/>
    <n v="0.2393004205323602"/>
  </r>
  <r>
    <x v="3"/>
    <n v="100"/>
    <n v="2.0840000000000001"/>
    <n v="8.3330000000000002"/>
    <n v="2.3660000000000001"/>
    <n v="8.4689999999999994"/>
    <n v="0.26934097421203446"/>
    <n v="0.12989493791785983"/>
    <n v="0.14034808447415906"/>
    <n v="-0.17213201740422371"/>
    <n v="0.10785944734405555"/>
  </r>
  <r>
    <x v="3"/>
    <n v="100"/>
    <n v="2.0840000000000001"/>
    <n v="8.3330000000000002"/>
    <n v="2.302"/>
    <n v="8.2870000000000008"/>
    <n v="0.20821394460362941"/>
    <n v="-4.3935052531040478E-2"/>
    <n v="0.14034808447415906"/>
    <n v="-0.17213201740422371"/>
    <n v="2.1040236773809003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203"/>
    <n v="11.321"/>
    <n v="9.2530000000000001"/>
    <n v="5.3265017102582561"/>
    <n v="4.3535129692624013"/>
    <n v="4.9676532998339145"/>
    <n v="3.7424779219068318"/>
    <n v="0.35884841042434168"/>
    <n v="0.61103504735556946"/>
    <n v="0.50213601076089986"/>
  </r>
  <r>
    <x v="0"/>
    <n v="203"/>
    <n v="12.326000000000001"/>
    <n v="7.5090000000000003"/>
    <n v="5.7993516545043073"/>
    <n v="3.5329654043219896"/>
    <n v="4.9676532998339145"/>
    <n v="3.7424779219068318"/>
    <n v="0.83169835467039288"/>
    <n v="-0.20951251758484224"/>
    <n v="0.73561764818617736"/>
  </r>
  <r>
    <x v="0"/>
    <n v="203"/>
    <n v="11.153"/>
    <n v="8.0459999999999994"/>
    <n v="5.247458137488767"/>
    <n v="3.7856225387101778"/>
    <n v="4.9676532998339145"/>
    <n v="3.7424779219068318"/>
    <n v="0.27980483765485253"/>
    <n v="4.3144616803346025E-2"/>
    <n v="8.0152205134165946E-2"/>
  </r>
  <r>
    <x v="0"/>
    <n v="203"/>
    <n v="11.108000000000001"/>
    <n v="7.5659999999999998"/>
    <n v="5.226285751925511"/>
    <n v="3.5597837593687807"/>
    <n v="4.9676532998339145"/>
    <n v="3.7424779219068318"/>
    <n v="0.25863245209159658"/>
    <n v="-0.18269416253805115"/>
    <n v="0.10026790230039184"/>
  </r>
  <r>
    <x v="0"/>
    <n v="203"/>
    <n v="10.593999999999999"/>
    <n v="8.8279999999999994"/>
    <n v="4.9844500590474308"/>
    <n v="4.153551550053872"/>
    <n v="4.9676532998339145"/>
    <n v="3.7424779219068318"/>
    <n v="1.679675921351631E-2"/>
    <n v="0.41107362814704018"/>
    <n v="0.16926365887804792"/>
  </r>
  <r>
    <x v="0"/>
    <n v="203"/>
    <n v="10.315"/>
    <n v="8.66"/>
    <n v="4.8531812685552431"/>
    <n v="4.0745079772843829"/>
    <n v="4.9676532998339145"/>
    <n v="3.7424779219068318"/>
    <n v="-0.11447203127867134"/>
    <n v="0.33203005537755104"/>
    <n v="0.12334780361908472"/>
  </r>
  <r>
    <x v="0"/>
    <n v="203"/>
    <n v="10.27"/>
    <n v="7.5540000000000003"/>
    <n v="4.8320088829919872"/>
    <n v="3.554137789885246"/>
    <n v="4.9676532998339145"/>
    <n v="3.7424779219068318"/>
    <n v="-0.1356444168419273"/>
    <n v="-0.18834013202158584"/>
    <n v="5.3871413150294915E-2"/>
  </r>
  <r>
    <x v="0"/>
    <n v="203"/>
    <n v="10.259"/>
    <n v="7.3529999999999998"/>
    <n v="4.8268334109654134"/>
    <n v="3.4595678010360351"/>
    <n v="4.9676532998339145"/>
    <n v="3.7424779219068318"/>
    <n v="-0.14081988886850105"/>
    <n v="-0.2829101208707967"/>
    <n v="9.9868377592065793E-2"/>
  </r>
  <r>
    <x v="0"/>
    <n v="203"/>
    <n v="9.7219999999999995"/>
    <n v="7.141"/>
    <n v="4.5741762765772247"/>
    <n v="3.3598223401602514"/>
    <n v="4.9676532998339145"/>
    <n v="3.7424779219068318"/>
    <n v="-0.39347702325668976"/>
    <n v="-0.38265558174658043"/>
    <n v="0.30124946207275949"/>
  </r>
  <r>
    <x v="0"/>
    <n v="203"/>
    <n v="8.5150000000000006"/>
    <n v="7.633"/>
    <n v="4.0062858460250022"/>
    <n v="3.5913070889851841"/>
    <n v="4.9676532998339145"/>
    <n v="3.7424779219068318"/>
    <n v="-0.96136745380891231"/>
    <n v="-0.15117083292164768"/>
    <n v="0.9470800019692559"/>
  </r>
  <r>
    <x v="1"/>
    <n v="203"/>
    <n v="20.562999999999999"/>
    <n v="8.8059999999999992"/>
    <n v="9.6748392074940828"/>
    <n v="4.1432006060007245"/>
    <n v="8.9291948377019033"/>
    <n v="3.5141455060435396"/>
    <n v="0.74564436979217952"/>
    <n v="0.62905509995718489"/>
    <n v="0.95169584498492044"/>
  </r>
  <r>
    <x v="1"/>
    <n v="203"/>
    <n v="19.925999999999998"/>
    <n v="8.5489999999999995"/>
    <n v="9.3751323274097693"/>
    <n v="4.0222827595616844"/>
    <n v="8.9291948377019033"/>
    <n v="3.5141455060435396"/>
    <n v="0.44593748970786606"/>
    <n v="0.50813725351814476"/>
    <n v="0.45706371313991645"/>
  </r>
  <r>
    <x v="1"/>
    <n v="203"/>
    <n v="18.460999999999999"/>
    <n v="8.6940000000000008"/>
    <n v="8.6858535529615448"/>
    <n v="4.0905048908210651"/>
    <n v="8.9291948377019033"/>
    <n v="3.5141455060435396"/>
    <n v="-0.24334128474035843"/>
    <n v="0.57635938477752546"/>
    <n v="0.39140512128021587"/>
  </r>
  <r>
    <x v="1"/>
    <n v="203"/>
    <n v="19.891999999999999"/>
    <n v="6.7830000000000004"/>
    <n v="9.3591354138730871"/>
    <n v="3.191384250568126"/>
    <n v="8.9291948377019033"/>
    <n v="3.5141455060435396"/>
    <n v="0.42994057617118386"/>
    <n v="-0.32276125547541357"/>
    <n v="0.28902372707447477"/>
  </r>
  <r>
    <x v="1"/>
    <n v="203"/>
    <n v="18.047999999999998"/>
    <n v="7.577"/>
    <n v="8.4915381032365502"/>
    <n v="3.5649592313953544"/>
    <n v="8.9291948377019033"/>
    <n v="3.5141455060435396"/>
    <n v="-0.43765673446535303"/>
    <n v="5.0813725351814831E-2"/>
    <n v="0.1941254519070062"/>
  </r>
  <r>
    <x v="1"/>
    <n v="203"/>
    <n v="18.702999999999999"/>
    <n v="7.5659999999999998"/>
    <n v="8.7997139375461675"/>
    <n v="3.5597837593687807"/>
    <n v="8.9291948377019033"/>
    <n v="3.5141455060435396"/>
    <n v="-0.12948090015573577"/>
    <n v="4.5638253325241074E-2"/>
    <n v="1.8848153671718493E-2"/>
  </r>
  <r>
    <x v="1"/>
    <n v="203"/>
    <n v="18.585000000000001"/>
    <n v="7.5540000000000003"/>
    <n v="8.7441952376247407"/>
    <n v="3.554137789885246"/>
    <n v="8.9291948377019033"/>
    <n v="3.5141455060435396"/>
    <n v="-0.18499960007716254"/>
    <n v="3.9992283841706389E-2"/>
    <n v="3.5824234795585684E-2"/>
  </r>
  <r>
    <x v="1"/>
    <n v="203"/>
    <n v="19.273"/>
    <n v="5.5019999999999998"/>
    <n v="9.0678974880140775"/>
    <n v="2.5886770082007704"/>
    <n v="8.9291948377019033"/>
    <n v="3.5141455060435396"/>
    <n v="0.13870265031217421"/>
    <n v="-0.92546849784276919"/>
    <n v="0.87573036570297302"/>
  </r>
  <r>
    <x v="1"/>
    <n v="203"/>
    <n v="17.696999999999999"/>
    <n v="6.0839999999999996"/>
    <n v="8.3263934958431545"/>
    <n v="2.8625065281522151"/>
    <n v="8.9291948377019033"/>
    <n v="3.5141455060435396"/>
    <n v="-0.60280134185874878"/>
    <n v="-0.65163897789132452"/>
    <n v="0.78800281525395821"/>
  </r>
  <r>
    <x v="1"/>
    <n v="203"/>
    <n v="18.634"/>
    <n v="7.5750000000000002"/>
    <n v="8.7672496130158422"/>
    <n v="3.5640182364814317"/>
    <n v="8.9291948377019033"/>
    <n v="3.5141455060435396"/>
    <n v="-0.1619452246860611"/>
    <n v="4.9872730437892088E-2"/>
    <n v="2.8713545039949457E-2"/>
  </r>
  <r>
    <x v="2"/>
    <n v="203"/>
    <n v="28.161999999999999"/>
    <n v="8.3699999999999992"/>
    <n v="13.250149382942585"/>
    <n v="3.9380637147656214"/>
    <n v="13.090227297321457"/>
    <n v="3.0394135719696438"/>
    <n v="0.15992208562112786"/>
    <n v="0.89865014279597766"/>
    <n v="0.83314715261664241"/>
  </r>
  <r>
    <x v="2"/>
    <n v="203"/>
    <n v="27.216000000000001"/>
    <n v="7.9370000000000003"/>
    <n v="12.805058788657247"/>
    <n v="3.7343383159014025"/>
    <n v="13.090227297321457"/>
    <n v="3.0394135719696438"/>
    <n v="-0.28516850866420995"/>
    <n v="0.69492474393175874"/>
    <n v="0.56424147806239"/>
  </r>
  <r>
    <x v="2"/>
    <n v="203"/>
    <n v="28.481999999999999"/>
    <n v="7.4459999999999997"/>
    <n v="13.400708569170183"/>
    <n v="3.5033240645334311"/>
    <n v="13.090227297321457"/>
    <n v="3.0394135719696438"/>
    <n v="0.31048127184872598"/>
    <n v="0.46391049256378736"/>
    <n v="0.31161156527957828"/>
  </r>
  <r>
    <x v="2"/>
    <n v="203"/>
    <n v="28.265000000000001"/>
    <n v="7.4059999999999997"/>
    <n v="13.298610621009594"/>
    <n v="3.4845041662549812"/>
    <n v="13.090227297321457"/>
    <n v="3.0394135719696438"/>
    <n v="0.20838332368813717"/>
    <n v="0.44509059428533737"/>
    <n v="0.24152924671258974"/>
  </r>
  <r>
    <x v="2"/>
    <n v="203"/>
    <n v="27.832000000000001"/>
    <n v="7.23"/>
    <n v="13.094885222145374"/>
    <n v="3.4016966138298024"/>
    <n v="13.090227297321457"/>
    <n v="3.0394135719696438"/>
    <n v="4.6579248239169146E-3"/>
    <n v="0.36228304186015858"/>
    <n v="0.13127069868311469"/>
  </r>
  <r>
    <x v="2"/>
    <n v="203"/>
    <n v="26.43"/>
    <n v="7.11"/>
    <n v="12.435247787485709"/>
    <n v="3.3452369189944529"/>
    <n v="13.090227297321457"/>
    <n v="3.0394135719696438"/>
    <n v="-0.65497950983574782"/>
    <n v="0.30582334702480907"/>
    <n v="0.52252607789013328"/>
  </r>
  <r>
    <x v="2"/>
    <n v="203"/>
    <n v="28.760999999999999"/>
    <n v="4.7270000000000003"/>
    <n v="13.53197735966237"/>
    <n v="2.2240414790558058"/>
    <n v="13.090227297321457"/>
    <n v="3.0394135719696438"/>
    <n v="0.44175006234091363"/>
    <n v="-0.81537209291383794"/>
    <n v="0.85997476748089352"/>
  </r>
  <r>
    <x v="2"/>
    <n v="203"/>
    <n v="27.312999999999999"/>
    <n v="5.4109999999999996"/>
    <n v="12.850697041982487"/>
    <n v="2.5458617396172971"/>
    <n v="13.090227297321457"/>
    <n v="3.0394135719696438"/>
    <n v="-0.23953025533896977"/>
    <n v="-0.49355183235234668"/>
    <n v="0.30096815444111097"/>
  </r>
  <r>
    <x v="2"/>
    <n v="203"/>
    <n v="28.053999999999998"/>
    <n v="4.43"/>
    <n v="13.199335657590771"/>
    <n v="2.0843037343383157"/>
    <n v="13.090227297321457"/>
    <n v="3.0394135719696438"/>
    <n v="0.10910836026931392"/>
    <n v="-0.95510983763132806"/>
    <n v="0.92413943622080019"/>
  </r>
  <r>
    <x v="2"/>
    <n v="203"/>
    <n v="27.706"/>
    <n v="4.5330000000000004"/>
    <n v="13.035602542568258"/>
    <n v="2.1327649724053241"/>
    <n v="13.090227297321457"/>
    <n v="3.0394135719696438"/>
    <n v="-5.4624754753199056E-2"/>
    <n v="-0.90664859956431965"/>
    <n v="0.824995546923789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Group">
  <location ref="P4:T8" firstHeaderRow="0" firstDataRow="1" firstDataCol="1"/>
  <pivotFields count="11"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adius^2" fld="10" baseField="0" baseItem="0" numFmtId="166"/>
    <dataField name="Count of Group" fld="0" subtotal="count" baseField="0" baseItem="0"/>
    <dataField name="StdDev X" fld="6" subtotal="stdDev" baseField="0" baseItem="0" numFmtId="2"/>
    <dataField name="StdDev Y" fld="7" subtotal="stdDev" baseField="0" baseItem="0" numFmtId="2"/>
  </dataFields>
  <formats count="7">
    <format dxfId="17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P1:T5" firstHeaderRow="0" firstDataRow="1" firstDataCol="1"/>
  <pivotFields count="11"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Radius^2" fld="10" baseField="0" baseItem="0" numFmtId="2"/>
    <dataField name="Count of Group" fld="0" subtotal="count" baseField="2" baseItem="0"/>
    <dataField name="StdDev X" fld="8" subtotal="stdDev" baseField="0" baseItem="0" numFmtId="2"/>
    <dataField name="StdDev Y" fld="9" subtotal="stdDev" baseField="0" baseItem="0" numFmtId="2"/>
  </dataFields>
  <formats count="11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llistipedia.com/index.php?title=Ballistic_Accuracy_Classifica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/>
  </sheetViews>
  <sheetFormatPr defaultRowHeight="12.75" x14ac:dyDescent="0.35"/>
  <cols>
    <col min="1" max="1" width="90.9296875" customWidth="1"/>
  </cols>
  <sheetData>
    <row r="1" spans="1:1" ht="19.149999999999999" thickBot="1" x14ac:dyDescent="0.55000000000000004">
      <c r="A1" s="69" t="s">
        <v>24</v>
      </c>
    </row>
    <row r="2" spans="1:1" ht="13.15" thickTop="1" x14ac:dyDescent="0.35"/>
    <row r="3" spans="1:1" ht="17.25" thickBot="1" x14ac:dyDescent="0.55000000000000004">
      <c r="A3" s="70" t="s">
        <v>34</v>
      </c>
    </row>
    <row r="4" spans="1:1" s="50" customFormat="1" ht="13.15" thickTop="1" x14ac:dyDescent="0.35">
      <c r="A4" s="50" t="s">
        <v>27</v>
      </c>
    </row>
    <row r="5" spans="1:1" s="50" customFormat="1" ht="26.25" x14ac:dyDescent="0.4">
      <c r="A5" s="71" t="s">
        <v>35</v>
      </c>
    </row>
    <row r="6" spans="1:1" s="50" customFormat="1" ht="25.9" x14ac:dyDescent="0.35">
      <c r="A6" s="71" t="s">
        <v>36</v>
      </c>
    </row>
    <row r="7" spans="1:1" s="50" customFormat="1" x14ac:dyDescent="0.35"/>
    <row r="8" spans="1:1" s="50" customFormat="1" ht="17.25" thickBot="1" x14ac:dyDescent="0.55000000000000004">
      <c r="A8" s="70" t="s">
        <v>33</v>
      </c>
    </row>
    <row r="9" spans="1:1" s="50" customFormat="1" ht="13.15" thickTop="1" x14ac:dyDescent="0.35">
      <c r="A9" s="50" t="s">
        <v>28</v>
      </c>
    </row>
    <row r="10" spans="1:1" x14ac:dyDescent="0.35">
      <c r="A10" t="s">
        <v>32</v>
      </c>
    </row>
    <row r="11" spans="1:1" ht="13.15" x14ac:dyDescent="0.4">
      <c r="A11" t="s">
        <v>38</v>
      </c>
    </row>
  </sheetData>
  <hyperlinks>
    <hyperlink ref="A1" r:id="rId1" location="Classifying_a_Specimen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8"/>
  <sheetViews>
    <sheetView workbookViewId="0">
      <pane ySplit="2" topLeftCell="A3" activePane="bottomLeft" state="frozen"/>
      <selection pane="bottomLeft" activeCell="A3" sqref="A3"/>
    </sheetView>
  </sheetViews>
  <sheetFormatPr defaultColWidth="8.73046875" defaultRowHeight="12.75" x14ac:dyDescent="0.35"/>
  <cols>
    <col min="1" max="1" width="8.73046875" style="50"/>
    <col min="2" max="2" width="8.265625" style="27" bestFit="1" customWidth="1"/>
    <col min="3" max="4" width="13.265625" style="32" customWidth="1"/>
    <col min="5" max="6" width="8.73046875" style="6"/>
    <col min="7" max="7" width="8.73046875" style="5"/>
    <col min="8" max="8" width="8.73046875" style="6"/>
    <col min="9" max="10" width="8.73046875" style="50"/>
    <col min="11" max="11" width="8.73046875" style="27"/>
    <col min="12" max="12" width="8.73046875" style="6"/>
    <col min="13" max="13" width="18.33203125" style="50" bestFit="1" customWidth="1"/>
    <col min="14" max="15" width="7.265625" style="1" customWidth="1"/>
    <col min="16" max="16" width="12.9296875" style="6" customWidth="1"/>
    <col min="17" max="17" width="12.59765625" style="6" bestFit="1" customWidth="1"/>
    <col min="18" max="18" width="11.796875" style="9" bestFit="1" customWidth="1"/>
    <col min="19" max="19" width="8.73046875" style="1" bestFit="1" customWidth="1"/>
    <col min="20" max="20" width="9.33203125" style="1" bestFit="1" customWidth="1"/>
    <col min="21" max="16384" width="8.73046875" style="6"/>
  </cols>
  <sheetData>
    <row r="1" spans="1:25" ht="13.5" thickBot="1" x14ac:dyDescent="0.45">
      <c r="B1" s="68" t="s">
        <v>25</v>
      </c>
      <c r="C1" s="87" t="s">
        <v>17</v>
      </c>
      <c r="D1" s="85"/>
      <c r="E1" s="85" t="s">
        <v>16</v>
      </c>
      <c r="F1" s="86"/>
      <c r="G1" s="87" t="s">
        <v>13</v>
      </c>
      <c r="H1" s="85"/>
      <c r="I1" s="85"/>
      <c r="J1" s="85"/>
      <c r="K1" s="86"/>
      <c r="M1" s="64" t="s">
        <v>30</v>
      </c>
      <c r="N1" s="65">
        <f>ROUND(10*N3,0)</f>
        <v>4</v>
      </c>
      <c r="O1"/>
      <c r="P1" s="48" t="s">
        <v>7</v>
      </c>
      <c r="Q1" s="39" t="s">
        <v>12</v>
      </c>
      <c r="R1" s="46" t="s">
        <v>8</v>
      </c>
      <c r="S1" s="46" t="s">
        <v>9</v>
      </c>
      <c r="T1" s="46" t="s">
        <v>40</v>
      </c>
      <c r="U1" s="57" t="s">
        <v>11</v>
      </c>
      <c r="V1" s="58">
        <v>0.8</v>
      </c>
      <c r="W1" s="34"/>
    </row>
    <row r="2" spans="1:25" ht="13.15" x14ac:dyDescent="0.4">
      <c r="A2" s="29" t="s">
        <v>5</v>
      </c>
      <c r="B2" s="29" t="s">
        <v>26</v>
      </c>
      <c r="C2" s="25" t="s">
        <v>18</v>
      </c>
      <c r="D2" s="25" t="s">
        <v>19</v>
      </c>
      <c r="E2" s="25" t="s">
        <v>20</v>
      </c>
      <c r="F2" s="25" t="s">
        <v>21</v>
      </c>
      <c r="G2" s="26" t="s">
        <v>2</v>
      </c>
      <c r="H2" s="26" t="s">
        <v>1</v>
      </c>
      <c r="I2" s="26" t="s">
        <v>4</v>
      </c>
      <c r="J2" s="26" t="s">
        <v>3</v>
      </c>
      <c r="K2" s="28" t="s">
        <v>0</v>
      </c>
      <c r="M2" s="62" t="s">
        <v>29</v>
      </c>
      <c r="N2" s="63">
        <f>T2*SQRT(R2*P2/(2*Q2-2))</f>
        <v>0.37535926223053401</v>
      </c>
      <c r="O2"/>
      <c r="P2" s="74">
        <f>SUM(K:K)</f>
        <v>9.5204145478746423</v>
      </c>
      <c r="Q2" s="6">
        <f>COUNT(K:K)</f>
        <v>36</v>
      </c>
      <c r="R2" s="56">
        <f t="shared" ref="R2" si="0">Q2/(Q2-1)</f>
        <v>1.0285714285714285</v>
      </c>
      <c r="S2" s="56">
        <f t="shared" ref="S2" si="1">2*Q2-1</f>
        <v>71</v>
      </c>
      <c r="T2" s="77">
        <f t="shared" ref="T2" si="2">1/EXP(LN(SQRT(2/(S2-1))) + GAMMALN(S2/2) - GAMMALN((S2-1)/2))</f>
        <v>1.0035776918396091</v>
      </c>
      <c r="U2" s="63">
        <f>SQRT(P2/CHIINV((1-V1)/2,2*Q2-2))</f>
        <v>0.33363853215751627</v>
      </c>
      <c r="V2" s="63">
        <f>SQRT(P2/CHIINV(0.5+V1/2,2*Q2-2))</f>
        <v>0.41481242486570169</v>
      </c>
      <c r="X2" s="51"/>
    </row>
    <row r="3" spans="1:25" x14ac:dyDescent="0.35">
      <c r="A3" s="30">
        <v>1</v>
      </c>
      <c r="B3" s="30">
        <v>100</v>
      </c>
      <c r="C3" s="52">
        <v>2.0419999999999998</v>
      </c>
      <c r="D3" s="52">
        <v>1.871</v>
      </c>
      <c r="E3" s="4">
        <v>2.5299999999999998</v>
      </c>
      <c r="F3" s="4">
        <v>2.33</v>
      </c>
      <c r="G3" s="5">
        <f>(E3-C3)/(0.01047*$B3)</f>
        <v>0.4660936007640879</v>
      </c>
      <c r="H3" s="5">
        <f>(D3-F3)/(0.01047*$B3)</f>
        <v>-0.43839541547277949</v>
      </c>
      <c r="I3" s="53">
        <f>AVERAGE(G:G)</f>
        <v>0.14034808447415906</v>
      </c>
      <c r="J3" s="53">
        <f>AVERAGE(H:H)</f>
        <v>0.17213201740422371</v>
      </c>
      <c r="K3" s="7">
        <f>POWER(G3-I3,2)+POWER(H3-J3,2)</f>
        <v>0.47885388767837589</v>
      </c>
      <c r="M3" s="66" t="s">
        <v>31</v>
      </c>
      <c r="N3" s="67">
        <f>SQRT(P2/CHIINV(0.9,2*Q2-2))</f>
        <v>0.41481242486570169</v>
      </c>
      <c r="O3" s="61"/>
    </row>
    <row r="4" spans="1:25" ht="13.5" thickBot="1" x14ac:dyDescent="0.45">
      <c r="A4" s="30">
        <v>1</v>
      </c>
      <c r="B4" s="30">
        <v>100</v>
      </c>
      <c r="C4" s="52">
        <v>2.0419999999999998</v>
      </c>
      <c r="D4" s="52">
        <v>1.871</v>
      </c>
      <c r="E4" s="4">
        <v>2.8330000000000002</v>
      </c>
      <c r="F4" s="4">
        <v>2.33</v>
      </c>
      <c r="G4" s="53">
        <f t="shared" ref="G4:G32" si="3">(E4-C4)/(0.01047*$B4)</f>
        <v>0.75549188156638059</v>
      </c>
      <c r="H4" s="53">
        <f t="shared" ref="H4:H38" si="4">(D4-F4)/(0.01047*$B4)</f>
        <v>-0.43839541547277949</v>
      </c>
      <c r="I4" s="53">
        <f t="shared" ref="I4:I32" si="5">AVERAGE(G:G)</f>
        <v>0.14034808447415906</v>
      </c>
      <c r="J4" s="53">
        <f t="shared" ref="J4:J32" si="6">AVERAGE(H:H)</f>
        <v>0.17213201740422371</v>
      </c>
      <c r="K4" s="54">
        <f t="shared" ref="K4:K32" si="7">POWER(G4-I4,2)+POWER(H4-J4,2)</f>
        <v>0.75114563739641982</v>
      </c>
      <c r="P4" s="73" t="s">
        <v>5</v>
      </c>
      <c r="Q4" s="75" t="s">
        <v>43</v>
      </c>
      <c r="R4" s="75" t="s">
        <v>12</v>
      </c>
      <c r="S4" s="76" t="s">
        <v>45</v>
      </c>
      <c r="T4" s="76" t="s">
        <v>44</v>
      </c>
      <c r="U4" s="15" t="s">
        <v>9</v>
      </c>
      <c r="V4" s="15" t="s">
        <v>40</v>
      </c>
      <c r="W4" s="16" t="s">
        <v>10</v>
      </c>
      <c r="X4" s="57"/>
      <c r="Y4" s="57"/>
    </row>
    <row r="5" spans="1:25" ht="13.15" x14ac:dyDescent="0.4">
      <c r="A5" s="30">
        <v>1</v>
      </c>
      <c r="B5" s="30">
        <v>100</v>
      </c>
      <c r="C5" s="52">
        <v>2.0419999999999998</v>
      </c>
      <c r="D5" s="52">
        <v>1.871</v>
      </c>
      <c r="E5" s="4">
        <v>2.1219999999999999</v>
      </c>
      <c r="F5" s="4">
        <v>1.923</v>
      </c>
      <c r="G5" s="53">
        <f t="shared" si="3"/>
        <v>7.6408787010506282E-2</v>
      </c>
      <c r="H5" s="53">
        <f t="shared" si="4"/>
        <v>-4.9665711556829084E-2</v>
      </c>
      <c r="I5" s="53">
        <f t="shared" si="5"/>
        <v>0.14034808447415906</v>
      </c>
      <c r="J5" s="53">
        <f t="shared" si="6"/>
        <v>0.17213201740422371</v>
      </c>
      <c r="K5" s="54">
        <f t="shared" si="7"/>
        <v>5.3282466332426115E-2</v>
      </c>
      <c r="M5" s="80" t="s">
        <v>46</v>
      </c>
      <c r="N5" s="84" t="s">
        <v>13</v>
      </c>
      <c r="P5" s="76">
        <v>1</v>
      </c>
      <c r="Q5" s="81">
        <v>3.1193328525067594</v>
      </c>
      <c r="R5" s="2">
        <v>10</v>
      </c>
      <c r="S5" s="82">
        <v>0.29668423624993001</v>
      </c>
      <c r="T5" s="82">
        <v>0.24551628419498139</v>
      </c>
      <c r="U5" s="1">
        <f>2*R5-1</f>
        <v>19</v>
      </c>
      <c r="V5" s="1">
        <f>1/EXP(LN(SQRT(2/(U5-1))) + GAMMALN(U5/2) - GAMMALN((U5-1)/2))</f>
        <v>1.0139785697898209</v>
      </c>
      <c r="W5" s="13">
        <f>V5*SQRT(Q5/(2*(R5-1)))</f>
        <v>0.42210780583140584</v>
      </c>
      <c r="X5" s="3">
        <f>SQRT(Q5/CHIINV((1-V$1)/2,2*R5-2))</f>
        <v>0.34644359778601597</v>
      </c>
      <c r="Y5" s="3">
        <f>SQRT(Q5/CHIINV(0.5+V$1/2,2*R5-2))</f>
        <v>0.53581796552374794</v>
      </c>
    </row>
    <row r="6" spans="1:25" ht="13.15" x14ac:dyDescent="0.4">
      <c r="A6" s="30">
        <v>1</v>
      </c>
      <c r="B6" s="30">
        <v>100</v>
      </c>
      <c r="C6" s="52">
        <v>2.0419999999999998</v>
      </c>
      <c r="D6" s="52">
        <v>1.871</v>
      </c>
      <c r="E6" s="4">
        <v>2.1219999999999999</v>
      </c>
      <c r="F6" s="4">
        <v>1.6859999999999999</v>
      </c>
      <c r="G6" s="53">
        <f t="shared" si="3"/>
        <v>7.6408787010506282E-2</v>
      </c>
      <c r="H6" s="53">
        <f t="shared" si="4"/>
        <v>0.17669531996179566</v>
      </c>
      <c r="I6" s="53">
        <f t="shared" si="5"/>
        <v>0.14034808447415906</v>
      </c>
      <c r="J6" s="53">
        <f t="shared" si="6"/>
        <v>0.17213201740422371</v>
      </c>
      <c r="K6" s="54">
        <f t="shared" si="7"/>
        <v>4.1090574903774168E-3</v>
      </c>
      <c r="M6" s="79">
        <f>1-EXP(-POWER(N6/$N$3,2)/2)</f>
        <v>0.16607584578112189</v>
      </c>
      <c r="N6" s="78">
        <v>0.25</v>
      </c>
      <c r="P6" s="76">
        <v>2</v>
      </c>
      <c r="Q6" s="81">
        <v>1.4996222559568899</v>
      </c>
      <c r="R6" s="2">
        <v>10</v>
      </c>
      <c r="S6" s="82">
        <v>0.19240083894058554</v>
      </c>
      <c r="T6" s="82">
        <v>0.23164917555021827</v>
      </c>
      <c r="U6" s="1">
        <f>2*R6-1</f>
        <v>19</v>
      </c>
      <c r="V6" s="1">
        <f>1/EXP(LN(SQRT(2/(U6-1))) + GAMMALN(U6/2) - GAMMALN((U6-1)/2))</f>
        <v>1.0139785697898209</v>
      </c>
      <c r="W6" s="13">
        <f>V6*SQRT(Q6/(2*(R6-1)))</f>
        <v>0.29267354125298467</v>
      </c>
      <c r="X6" s="3">
        <f>SQRT(Q6/CHIINV((1-V$1)/2,2*R6-2))</f>
        <v>0.24021084947421256</v>
      </c>
      <c r="Y6" s="3">
        <f>SQRT(Q6/CHIINV(0.5+V$1/2,2*R6-2))</f>
        <v>0.37151585275217669</v>
      </c>
    </row>
    <row r="7" spans="1:25" ht="13.15" x14ac:dyDescent="0.4">
      <c r="A7" s="30">
        <v>1</v>
      </c>
      <c r="B7" s="30">
        <v>100</v>
      </c>
      <c r="C7" s="52">
        <v>2.0419999999999998</v>
      </c>
      <c r="D7" s="52">
        <v>1.871</v>
      </c>
      <c r="E7" s="4">
        <v>2.1509999999999998</v>
      </c>
      <c r="F7" s="4">
        <v>1.61</v>
      </c>
      <c r="G7" s="53">
        <f t="shared" si="3"/>
        <v>0.1041069723018147</v>
      </c>
      <c r="H7" s="53">
        <f t="shared" si="4"/>
        <v>0.24928366762177642</v>
      </c>
      <c r="I7" s="53">
        <f t="shared" si="5"/>
        <v>0.14034808447415906</v>
      </c>
      <c r="J7" s="53">
        <f t="shared" si="6"/>
        <v>0.17213201740422371</v>
      </c>
      <c r="K7" s="54">
        <f t="shared" si="7"/>
        <v>7.2657953427800476E-3</v>
      </c>
      <c r="M7" s="79">
        <f t="shared" ref="M7:M8" si="8">1-EXP(-POWER(N7/$N$3,2)/2)</f>
        <v>0.51637781749841094</v>
      </c>
      <c r="N7" s="78">
        <v>0.5</v>
      </c>
      <c r="P7" s="76">
        <v>3</v>
      </c>
      <c r="Q7" s="81">
        <v>4.1884468018844148</v>
      </c>
      <c r="R7" s="2">
        <v>10</v>
      </c>
      <c r="S7" s="82">
        <v>0.24416712532497351</v>
      </c>
      <c r="T7" s="82">
        <v>0.2996009883709867</v>
      </c>
      <c r="U7" s="1">
        <f>2*R7-1</f>
        <v>19</v>
      </c>
      <c r="V7" s="1">
        <f>1/EXP(LN(SQRT(2/(U7-1))) + GAMMALN(U7/2) - GAMMALN((U7-1)/2))</f>
        <v>1.0139785697898209</v>
      </c>
      <c r="W7" s="13">
        <f>V7*SQRT(Q7/(2*(R7-1)))</f>
        <v>0.48912405935866982</v>
      </c>
      <c r="X7" s="3">
        <f>SQRT(Q7/CHIINV((1-V$1)/2,2*R7-2))</f>
        <v>0.4014469681605462</v>
      </c>
      <c r="Y7" s="3">
        <f>SQRT(Q7/CHIINV(0.5+V$1/2,2*R7-2))</f>
        <v>0.62088749545408173</v>
      </c>
    </row>
    <row r="8" spans="1:25" ht="13.15" x14ac:dyDescent="0.4">
      <c r="A8" s="30">
        <v>1</v>
      </c>
      <c r="B8" s="30">
        <v>100</v>
      </c>
      <c r="C8" s="52">
        <v>2.0419999999999998</v>
      </c>
      <c r="D8" s="52">
        <v>1.871</v>
      </c>
      <c r="E8" s="4">
        <v>2.4350000000000001</v>
      </c>
      <c r="F8" s="4">
        <v>1.97</v>
      </c>
      <c r="G8" s="53">
        <f t="shared" si="3"/>
        <v>0.375358166189112</v>
      </c>
      <c r="H8" s="53">
        <f t="shared" si="4"/>
        <v>-9.455587392550141E-2</v>
      </c>
      <c r="I8" s="53">
        <f t="shared" si="5"/>
        <v>0.14034808447415906</v>
      </c>
      <c r="J8" s="53">
        <f t="shared" si="6"/>
        <v>0.17213201740422371</v>
      </c>
      <c r="K8" s="54">
        <f t="shared" si="7"/>
        <v>0.12635216988956416</v>
      </c>
      <c r="M8" s="79">
        <f t="shared" si="8"/>
        <v>0.94529527358046017</v>
      </c>
      <c r="N8" s="78">
        <v>1</v>
      </c>
      <c r="P8" s="76">
        <v>4</v>
      </c>
      <c r="Q8" s="81">
        <v>0.71301263752657529</v>
      </c>
      <c r="R8" s="2">
        <v>6</v>
      </c>
      <c r="S8" s="82">
        <v>0.12983312198422522</v>
      </c>
      <c r="T8" s="82">
        <v>0.21624616220489937</v>
      </c>
      <c r="U8" s="1">
        <f>2*R8-1</f>
        <v>11</v>
      </c>
      <c r="V8" s="1">
        <f>1/EXP(LN(SQRT(2/(U8-1))) + GAMMALN(U8/2) - GAMMALN((U8-1)/2))</f>
        <v>1.0252728978367636</v>
      </c>
      <c r="W8" s="13">
        <f>V8*SQRT(Q8/(2*(R8-1)))</f>
        <v>0.2737714089518411</v>
      </c>
      <c r="X8" s="3">
        <f>SQRT(Q8/CHIINV((1-V$1)/2,2*R8-2))</f>
        <v>0.21118481745523277</v>
      </c>
      <c r="Y8" s="3">
        <f>SQRT(Q8/CHIINV(0.5+V$1/2,2*R8-2))</f>
        <v>0.38282391978326413</v>
      </c>
    </row>
    <row r="9" spans="1:25" x14ac:dyDescent="0.35">
      <c r="A9" s="30">
        <v>1</v>
      </c>
      <c r="B9" s="30">
        <v>100</v>
      </c>
      <c r="C9" s="52">
        <v>2.0419999999999998</v>
      </c>
      <c r="D9" s="52">
        <v>1.871</v>
      </c>
      <c r="E9" s="4">
        <v>2.8620000000000001</v>
      </c>
      <c r="F9" s="4">
        <v>1.762</v>
      </c>
      <c r="G9" s="53">
        <f t="shared" si="3"/>
        <v>0.78319006685768899</v>
      </c>
      <c r="H9" s="53">
        <f t="shared" si="4"/>
        <v>0.1041069723018147</v>
      </c>
      <c r="I9" s="53">
        <f t="shared" si="5"/>
        <v>0.14034808447415906</v>
      </c>
      <c r="J9" s="53">
        <f t="shared" si="6"/>
        <v>0.17213201740422371</v>
      </c>
      <c r="K9" s="54">
        <f t="shared" si="7"/>
        <v>0.41787322107597141</v>
      </c>
      <c r="M9" s="66" t="s">
        <v>47</v>
      </c>
      <c r="N9" s="83">
        <f>N3*SQRT(LN(4))</f>
        <v>0.48840430650082445</v>
      </c>
      <c r="P9"/>
      <c r="Q9"/>
      <c r="R9"/>
    </row>
    <row r="10" spans="1:25" x14ac:dyDescent="0.35">
      <c r="A10" s="30">
        <v>1</v>
      </c>
      <c r="B10" s="30">
        <v>100</v>
      </c>
      <c r="C10" s="52">
        <v>2.0419999999999998</v>
      </c>
      <c r="D10" s="52">
        <v>1.871</v>
      </c>
      <c r="E10" s="4">
        <v>2.9180000000000001</v>
      </c>
      <c r="F10" s="4">
        <v>1.857</v>
      </c>
      <c r="G10" s="53">
        <f t="shared" si="3"/>
        <v>0.83667621776504331</v>
      </c>
      <c r="H10" s="53">
        <f t="shared" si="4"/>
        <v>1.3371537726838599E-2</v>
      </c>
      <c r="I10" s="53">
        <f t="shared" si="5"/>
        <v>0.14034808447415906</v>
      </c>
      <c r="J10" s="53">
        <f t="shared" si="6"/>
        <v>0.17213201740422371</v>
      </c>
      <c r="K10" s="54">
        <f t="shared" si="7"/>
        <v>0.51007775911976094</v>
      </c>
      <c r="P10"/>
      <c r="Q10"/>
      <c r="R10"/>
    </row>
    <row r="11" spans="1:25" x14ac:dyDescent="0.35">
      <c r="A11" s="30">
        <v>1</v>
      </c>
      <c r="B11" s="30">
        <v>100</v>
      </c>
      <c r="C11" s="52">
        <v>2.0419999999999998</v>
      </c>
      <c r="D11" s="52">
        <v>1.871</v>
      </c>
      <c r="E11" s="4">
        <v>2.6150000000000002</v>
      </c>
      <c r="F11" s="4">
        <v>2.0939999999999999</v>
      </c>
      <c r="G11" s="53">
        <f t="shared" si="3"/>
        <v>0.54727793696275118</v>
      </c>
      <c r="H11" s="53">
        <f t="shared" si="4"/>
        <v>-0.21298949379178594</v>
      </c>
      <c r="I11" s="53">
        <f t="shared" si="5"/>
        <v>0.14034808447415906</v>
      </c>
      <c r="J11" s="53">
        <f t="shared" si="6"/>
        <v>0.17213201740422371</v>
      </c>
      <c r="K11" s="54">
        <f t="shared" si="7"/>
        <v>0.31391048323228554</v>
      </c>
      <c r="P11"/>
      <c r="Q11"/>
      <c r="R11"/>
    </row>
    <row r="12" spans="1:25" x14ac:dyDescent="0.35">
      <c r="A12" s="30">
        <v>1</v>
      </c>
      <c r="B12" s="30">
        <v>100</v>
      </c>
      <c r="C12" s="38">
        <v>2.0419999999999998</v>
      </c>
      <c r="D12" s="38">
        <v>1.871</v>
      </c>
      <c r="E12" s="38">
        <v>2.6819999999999999</v>
      </c>
      <c r="F12" s="38">
        <v>2.198</v>
      </c>
      <c r="G12" s="53">
        <f t="shared" si="3"/>
        <v>0.61127029608404981</v>
      </c>
      <c r="H12" s="53">
        <f t="shared" si="4"/>
        <v>-0.31232091690544411</v>
      </c>
      <c r="I12" s="53">
        <f t="shared" si="5"/>
        <v>0.14034808447415906</v>
      </c>
      <c r="J12" s="53">
        <f t="shared" si="6"/>
        <v>0.17213201740422371</v>
      </c>
      <c r="K12" s="54">
        <f t="shared" si="7"/>
        <v>0.45646237494879816</v>
      </c>
      <c r="P12"/>
      <c r="Q12"/>
      <c r="R12"/>
    </row>
    <row r="13" spans="1:25" x14ac:dyDescent="0.35">
      <c r="A13" s="30">
        <v>2</v>
      </c>
      <c r="B13" s="30">
        <v>100</v>
      </c>
      <c r="C13" s="52">
        <v>6.3609999999999998</v>
      </c>
      <c r="D13" s="52">
        <v>1.867</v>
      </c>
      <c r="E13" s="4">
        <v>6.1120000000000001</v>
      </c>
      <c r="F13" s="4">
        <v>2.198</v>
      </c>
      <c r="G13" s="53">
        <f t="shared" si="3"/>
        <v>-0.23782234957020026</v>
      </c>
      <c r="H13" s="53">
        <f t="shared" si="4"/>
        <v>-0.3161413562559694</v>
      </c>
      <c r="I13" s="53">
        <f t="shared" si="5"/>
        <v>0.14034808447415906</v>
      </c>
      <c r="J13" s="53">
        <f t="shared" si="6"/>
        <v>0.17213201740422371</v>
      </c>
      <c r="K13" s="54">
        <f t="shared" si="7"/>
        <v>0.38142376461080568</v>
      </c>
      <c r="P13"/>
      <c r="Q13"/>
      <c r="R13"/>
    </row>
    <row r="14" spans="1:25" x14ac:dyDescent="0.35">
      <c r="A14" s="30">
        <v>2</v>
      </c>
      <c r="B14" s="30">
        <v>100</v>
      </c>
      <c r="C14" s="52">
        <v>6.3609999999999998</v>
      </c>
      <c r="D14" s="52">
        <v>1.867</v>
      </c>
      <c r="E14" s="4">
        <v>6.3769999999999998</v>
      </c>
      <c r="F14" s="4">
        <v>2.0179999999999998</v>
      </c>
      <c r="G14" s="53">
        <f t="shared" si="3"/>
        <v>1.5281757402101257E-2</v>
      </c>
      <c r="H14" s="53">
        <f t="shared" si="4"/>
        <v>-0.1442215854823303</v>
      </c>
      <c r="I14" s="53">
        <f t="shared" si="5"/>
        <v>0.14034808447415906</v>
      </c>
      <c r="J14" s="53">
        <f t="shared" si="6"/>
        <v>0.17213201740422371</v>
      </c>
      <c r="K14" s="54">
        <f t="shared" si="7"/>
        <v>0.11572118822659845</v>
      </c>
      <c r="P14"/>
      <c r="Q14"/>
      <c r="R14"/>
    </row>
    <row r="15" spans="1:25" x14ac:dyDescent="0.35">
      <c r="A15" s="30">
        <v>2</v>
      </c>
      <c r="B15" s="30">
        <v>100</v>
      </c>
      <c r="C15" s="52">
        <v>6.3609999999999998</v>
      </c>
      <c r="D15" s="52">
        <v>1.867</v>
      </c>
      <c r="E15" s="4">
        <v>6.6139999999999999</v>
      </c>
      <c r="F15" s="4">
        <v>1.696</v>
      </c>
      <c r="G15" s="53">
        <f t="shared" si="3"/>
        <v>0.24164278892072602</v>
      </c>
      <c r="H15" s="53">
        <f t="shared" si="4"/>
        <v>0.16332378223495708</v>
      </c>
      <c r="I15" s="53">
        <f t="shared" si="5"/>
        <v>0.14034808447415906</v>
      </c>
      <c r="J15" s="53">
        <f t="shared" si="6"/>
        <v>0.17213201740422371</v>
      </c>
      <c r="K15" s="54">
        <f t="shared" si="7"/>
        <v>1.0338202155714458E-2</v>
      </c>
      <c r="P15"/>
      <c r="Q15"/>
      <c r="R15"/>
    </row>
    <row r="16" spans="1:25" x14ac:dyDescent="0.35">
      <c r="A16" s="30">
        <v>2</v>
      </c>
      <c r="B16" s="30">
        <v>100</v>
      </c>
      <c r="C16" s="52">
        <v>6.3609999999999998</v>
      </c>
      <c r="D16" s="52">
        <v>1.867</v>
      </c>
      <c r="E16" s="4">
        <v>6.2069999999999999</v>
      </c>
      <c r="F16" s="4">
        <v>1.3069999999999999</v>
      </c>
      <c r="G16" s="53">
        <f t="shared" si="3"/>
        <v>-0.14708691499522439</v>
      </c>
      <c r="H16" s="53">
        <f t="shared" si="4"/>
        <v>0.53486150907354357</v>
      </c>
      <c r="I16" s="53">
        <f t="shared" si="5"/>
        <v>0.14034808447415906</v>
      </c>
      <c r="J16" s="53">
        <f t="shared" si="6"/>
        <v>0.17213201740422371</v>
      </c>
      <c r="K16" s="54">
        <f t="shared" si="7"/>
        <v>0.21419156304664766</v>
      </c>
      <c r="P16"/>
      <c r="Q16"/>
      <c r="R16"/>
    </row>
    <row r="17" spans="1:18" x14ac:dyDescent="0.35">
      <c r="A17" s="30">
        <v>2</v>
      </c>
      <c r="B17" s="30">
        <v>100</v>
      </c>
      <c r="C17" s="52">
        <v>6.3609999999999998</v>
      </c>
      <c r="D17" s="52">
        <v>1.867</v>
      </c>
      <c r="E17" s="4">
        <v>5.9409999999999998</v>
      </c>
      <c r="F17" s="4">
        <v>1.7430000000000001</v>
      </c>
      <c r="G17" s="53">
        <f t="shared" si="3"/>
        <v>-0.40114613180515757</v>
      </c>
      <c r="H17" s="53">
        <f t="shared" si="4"/>
        <v>0.11843361986628452</v>
      </c>
      <c r="I17" s="53">
        <f t="shared" si="5"/>
        <v>0.14034808447415906</v>
      </c>
      <c r="J17" s="53">
        <f t="shared" si="6"/>
        <v>0.17213201740422371</v>
      </c>
      <c r="K17" s="54">
        <f t="shared" si="7"/>
        <v>0.29609950416209385</v>
      </c>
      <c r="P17"/>
      <c r="Q17"/>
      <c r="R17"/>
    </row>
    <row r="18" spans="1:18" x14ac:dyDescent="0.35">
      <c r="A18" s="30">
        <v>2</v>
      </c>
      <c r="B18" s="30">
        <v>100</v>
      </c>
      <c r="C18" s="52">
        <v>6.3609999999999998</v>
      </c>
      <c r="D18" s="52">
        <v>1.867</v>
      </c>
      <c r="E18" s="4">
        <v>6.4909999999999997</v>
      </c>
      <c r="F18" s="4">
        <v>1.762</v>
      </c>
      <c r="G18" s="53">
        <f t="shared" si="3"/>
        <v>0.12416427889207249</v>
      </c>
      <c r="H18" s="53">
        <f t="shared" si="4"/>
        <v>0.10028653295128939</v>
      </c>
      <c r="I18" s="53">
        <f t="shared" si="5"/>
        <v>0.14034808447415906</v>
      </c>
      <c r="J18" s="53">
        <f t="shared" si="6"/>
        <v>0.17213201740422371</v>
      </c>
      <c r="K18" s="54">
        <f t="shared" si="7"/>
        <v>5.4236891993956031E-3</v>
      </c>
      <c r="P18"/>
      <c r="Q18"/>
      <c r="R18"/>
    </row>
    <row r="19" spans="1:18" x14ac:dyDescent="0.35">
      <c r="A19" s="30">
        <v>2</v>
      </c>
      <c r="B19" s="30">
        <v>100</v>
      </c>
      <c r="C19" s="52">
        <v>6.3609999999999998</v>
      </c>
      <c r="D19" s="52">
        <v>1.867</v>
      </c>
      <c r="E19" s="4">
        <v>6.3579999999999997</v>
      </c>
      <c r="F19" s="4">
        <v>1.696</v>
      </c>
      <c r="G19" s="53">
        <f t="shared" si="3"/>
        <v>-2.8653295128940916E-3</v>
      </c>
      <c r="H19" s="53">
        <f t="shared" si="4"/>
        <v>0.16332378223495708</v>
      </c>
      <c r="I19" s="53">
        <f t="shared" si="5"/>
        <v>0.14034808447415906</v>
      </c>
      <c r="J19" s="53">
        <f t="shared" si="6"/>
        <v>0.17213201740422371</v>
      </c>
      <c r="K19" s="54">
        <f t="shared" si="7"/>
        <v>2.0587666952624175E-2</v>
      </c>
      <c r="P19"/>
      <c r="Q19"/>
      <c r="R19"/>
    </row>
    <row r="20" spans="1:18" x14ac:dyDescent="0.35">
      <c r="A20" s="30">
        <v>2</v>
      </c>
      <c r="B20" s="30">
        <v>100</v>
      </c>
      <c r="C20" s="52">
        <v>6.3609999999999998</v>
      </c>
      <c r="D20" s="52">
        <v>1.867</v>
      </c>
      <c r="E20" s="4">
        <v>6.1689999999999996</v>
      </c>
      <c r="F20" s="4">
        <v>1.667</v>
      </c>
      <c r="G20" s="53">
        <f t="shared" si="3"/>
        <v>-0.18338108882521509</v>
      </c>
      <c r="H20" s="53">
        <f t="shared" si="4"/>
        <v>0.19102196752626549</v>
      </c>
      <c r="I20" s="53">
        <f t="shared" si="5"/>
        <v>0.14034808447415906</v>
      </c>
      <c r="J20" s="53">
        <f t="shared" si="6"/>
        <v>0.17213201740422371</v>
      </c>
      <c r="K20" s="54">
        <f t="shared" si="7"/>
        <v>0.10515740786070943</v>
      </c>
      <c r="P20"/>
      <c r="Q20"/>
      <c r="R20"/>
    </row>
    <row r="21" spans="1:18" x14ac:dyDescent="0.35">
      <c r="A21" s="30">
        <v>2</v>
      </c>
      <c r="B21" s="30">
        <v>100</v>
      </c>
      <c r="C21" s="52">
        <v>6.3609999999999998</v>
      </c>
      <c r="D21" s="52">
        <v>1.867</v>
      </c>
      <c r="E21" s="4">
        <v>6.15</v>
      </c>
      <c r="F21" s="4">
        <v>1.8380000000000001</v>
      </c>
      <c r="G21" s="53">
        <f t="shared" si="3"/>
        <v>-0.20152817574020956</v>
      </c>
      <c r="H21" s="53">
        <f t="shared" si="4"/>
        <v>2.7698185291308422E-2</v>
      </c>
      <c r="I21" s="53">
        <f t="shared" si="5"/>
        <v>0.14034808447415906</v>
      </c>
      <c r="J21" s="53">
        <f t="shared" si="6"/>
        <v>0.17213201740422371</v>
      </c>
      <c r="K21" s="54">
        <f t="shared" si="7"/>
        <v>0.13774050915698449</v>
      </c>
      <c r="P21"/>
      <c r="Q21"/>
      <c r="R21"/>
    </row>
    <row r="22" spans="1:18" x14ac:dyDescent="0.35">
      <c r="A22" s="30">
        <v>2</v>
      </c>
      <c r="B22" s="30">
        <v>100</v>
      </c>
      <c r="C22" s="38">
        <v>6.3609999999999998</v>
      </c>
      <c r="D22" s="38">
        <v>1.867</v>
      </c>
      <c r="E22" s="38">
        <v>6.1310000000000002</v>
      </c>
      <c r="F22" s="38">
        <v>1.9890000000000001</v>
      </c>
      <c r="G22" s="53">
        <f t="shared" si="3"/>
        <v>-0.21967526265520493</v>
      </c>
      <c r="H22" s="53">
        <f t="shared" si="4"/>
        <v>-0.11652340019102207</v>
      </c>
      <c r="I22" s="53">
        <f t="shared" si="5"/>
        <v>0.14034808447415906</v>
      </c>
      <c r="J22" s="53">
        <f t="shared" si="6"/>
        <v>0.17213201740422371</v>
      </c>
      <c r="K22" s="54">
        <f t="shared" si="7"/>
        <v>0.21293876058531624</v>
      </c>
    </row>
    <row r="23" spans="1:18" x14ac:dyDescent="0.35">
      <c r="A23" s="30">
        <v>3</v>
      </c>
      <c r="B23" s="30">
        <v>100</v>
      </c>
      <c r="C23" s="52">
        <v>4.218</v>
      </c>
      <c r="D23" s="52">
        <v>5.1059999999999999</v>
      </c>
      <c r="E23" s="4">
        <v>3.8530000000000002</v>
      </c>
      <c r="F23" s="4">
        <v>3.8079999999999998</v>
      </c>
      <c r="G23" s="53">
        <f t="shared" si="3"/>
        <v>-0.3486150907354344</v>
      </c>
      <c r="H23" s="53">
        <f t="shared" si="4"/>
        <v>1.2397325692454633</v>
      </c>
      <c r="I23" s="53">
        <f t="shared" si="5"/>
        <v>0.14034808447415906</v>
      </c>
      <c r="J23" s="53">
        <f t="shared" si="6"/>
        <v>0.17213201740422371</v>
      </c>
      <c r="K23" s="54">
        <f t="shared" si="7"/>
        <v>1.3788559250027668</v>
      </c>
    </row>
    <row r="24" spans="1:18" x14ac:dyDescent="0.35">
      <c r="A24" s="30">
        <v>3</v>
      </c>
      <c r="B24" s="30">
        <v>100</v>
      </c>
      <c r="C24" s="52">
        <v>4.218</v>
      </c>
      <c r="D24" s="52">
        <v>5.1059999999999999</v>
      </c>
      <c r="E24" s="4">
        <v>4.0350000000000001</v>
      </c>
      <c r="F24" s="4">
        <v>3.996</v>
      </c>
      <c r="G24" s="53">
        <f t="shared" si="3"/>
        <v>-0.1747851002865328</v>
      </c>
      <c r="H24" s="53">
        <f t="shared" si="4"/>
        <v>1.0601719197707735</v>
      </c>
      <c r="I24" s="53">
        <f t="shared" si="5"/>
        <v>0.14034808447415906</v>
      </c>
      <c r="J24" s="53">
        <f t="shared" si="6"/>
        <v>0.17213201740422371</v>
      </c>
      <c r="K24" s="54">
        <f t="shared" si="7"/>
        <v>0.88792379233260765</v>
      </c>
    </row>
    <row r="25" spans="1:18" x14ac:dyDescent="0.35">
      <c r="A25" s="30">
        <v>3</v>
      </c>
      <c r="B25" s="30">
        <v>100</v>
      </c>
      <c r="C25" s="52">
        <v>4.218</v>
      </c>
      <c r="D25" s="52">
        <v>5.1059999999999999</v>
      </c>
      <c r="E25" s="4">
        <v>3.8860000000000001</v>
      </c>
      <c r="F25" s="4">
        <v>4.3470000000000004</v>
      </c>
      <c r="G25" s="53">
        <f t="shared" si="3"/>
        <v>-0.31709646609360065</v>
      </c>
      <c r="H25" s="53">
        <f t="shared" si="4"/>
        <v>0.7249283667621772</v>
      </c>
      <c r="I25" s="53">
        <f t="shared" si="5"/>
        <v>0.14034808447415906</v>
      </c>
      <c r="J25" s="53">
        <f t="shared" si="6"/>
        <v>0.17213201740422371</v>
      </c>
      <c r="K25" s="54">
        <f t="shared" si="7"/>
        <v>0.51483932070762028</v>
      </c>
    </row>
    <row r="26" spans="1:18" x14ac:dyDescent="0.35">
      <c r="A26" s="30">
        <v>3</v>
      </c>
      <c r="B26" s="30">
        <v>100</v>
      </c>
      <c r="C26" s="52">
        <v>4.218</v>
      </c>
      <c r="D26" s="52">
        <v>5.1059999999999999</v>
      </c>
      <c r="E26" s="4">
        <v>4.1520000000000001</v>
      </c>
      <c r="F26" s="4">
        <v>4.8730000000000002</v>
      </c>
      <c r="G26" s="53">
        <f t="shared" si="3"/>
        <v>-6.3037249283667468E-2</v>
      </c>
      <c r="H26" s="53">
        <f t="shared" si="4"/>
        <v>0.22254059216809902</v>
      </c>
      <c r="I26" s="53">
        <f t="shared" si="5"/>
        <v>0.14034808447415906</v>
      </c>
      <c r="J26" s="53">
        <f t="shared" si="6"/>
        <v>0.17213201740422371</v>
      </c>
      <c r="K26" s="54">
        <f t="shared" si="7"/>
        <v>4.3906618397507695E-2</v>
      </c>
    </row>
    <row r="27" spans="1:18" x14ac:dyDescent="0.35">
      <c r="A27" s="30">
        <v>3</v>
      </c>
      <c r="B27" s="30">
        <v>100</v>
      </c>
      <c r="C27" s="52">
        <v>4.218</v>
      </c>
      <c r="D27" s="52">
        <v>5.1059999999999999</v>
      </c>
      <c r="E27" s="4">
        <v>4.6399999999999997</v>
      </c>
      <c r="F27" s="4">
        <v>4.548</v>
      </c>
      <c r="G27" s="53">
        <f t="shared" si="3"/>
        <v>0.40305635148042002</v>
      </c>
      <c r="H27" s="53">
        <f t="shared" si="4"/>
        <v>0.53295128939828063</v>
      </c>
      <c r="I27" s="53">
        <f t="shared" si="5"/>
        <v>0.14034808447415906</v>
      </c>
      <c r="J27" s="53">
        <f t="shared" si="6"/>
        <v>0.17213201740422371</v>
      </c>
      <c r="K27" s="54">
        <f t="shared" si="7"/>
        <v>0.19920618059575412</v>
      </c>
    </row>
    <row r="28" spans="1:18" x14ac:dyDescent="0.35">
      <c r="A28" s="30">
        <v>3</v>
      </c>
      <c r="B28" s="30">
        <v>100</v>
      </c>
      <c r="C28" s="52">
        <v>4.218</v>
      </c>
      <c r="D28" s="52">
        <v>5.1059999999999999</v>
      </c>
      <c r="E28" s="4">
        <v>4.4320000000000004</v>
      </c>
      <c r="F28" s="4">
        <v>4.5419999999999998</v>
      </c>
      <c r="G28" s="53">
        <f t="shared" si="3"/>
        <v>0.20439350525310451</v>
      </c>
      <c r="H28" s="53">
        <f t="shared" si="4"/>
        <v>0.53868194842406891</v>
      </c>
      <c r="I28" s="53">
        <f t="shared" si="5"/>
        <v>0.14034808447415906</v>
      </c>
      <c r="J28" s="53">
        <f t="shared" si="6"/>
        <v>0.17213201740422371</v>
      </c>
      <c r="K28" s="54">
        <f t="shared" si="7"/>
        <v>0.13846066785340549</v>
      </c>
    </row>
    <row r="29" spans="1:18" x14ac:dyDescent="0.35">
      <c r="A29" s="30">
        <v>3</v>
      </c>
      <c r="B29" s="30">
        <v>100</v>
      </c>
      <c r="C29" s="52">
        <v>4.218</v>
      </c>
      <c r="D29" s="52">
        <v>5.1059999999999999</v>
      </c>
      <c r="E29" s="4">
        <v>4.4969999999999999</v>
      </c>
      <c r="F29" s="4">
        <v>4.4119999999999999</v>
      </c>
      <c r="G29" s="53">
        <f t="shared" si="3"/>
        <v>0.26647564469914031</v>
      </c>
      <c r="H29" s="53">
        <f t="shared" si="4"/>
        <v>0.6628462273161414</v>
      </c>
      <c r="I29" s="53">
        <f t="shared" si="5"/>
        <v>0.14034808447415906</v>
      </c>
      <c r="J29" s="53">
        <f t="shared" si="6"/>
        <v>0.17213201740422371</v>
      </c>
      <c r="K29" s="54">
        <f t="shared" si="7"/>
        <v>0.25670859725778394</v>
      </c>
    </row>
    <row r="30" spans="1:18" x14ac:dyDescent="0.35">
      <c r="A30" s="30">
        <v>3</v>
      </c>
      <c r="B30" s="30">
        <v>100</v>
      </c>
      <c r="C30" s="52">
        <v>4.218</v>
      </c>
      <c r="D30" s="52">
        <v>5.1059999999999999</v>
      </c>
      <c r="E30" s="4">
        <v>4.2629999999999999</v>
      </c>
      <c r="F30" s="4">
        <v>4.665</v>
      </c>
      <c r="G30" s="53">
        <f t="shared" si="3"/>
        <v>4.2979942693409677E-2</v>
      </c>
      <c r="H30" s="53">
        <f t="shared" si="4"/>
        <v>0.42120343839541535</v>
      </c>
      <c r="I30" s="53">
        <f t="shared" si="5"/>
        <v>0.14034808447415906</v>
      </c>
      <c r="J30" s="53">
        <f t="shared" si="6"/>
        <v>0.17213201740422371</v>
      </c>
      <c r="K30" s="54">
        <f t="shared" si="7"/>
        <v>7.1517127788407533E-2</v>
      </c>
    </row>
    <row r="31" spans="1:18" x14ac:dyDescent="0.35">
      <c r="A31" s="30">
        <v>3</v>
      </c>
      <c r="B31" s="30">
        <v>100</v>
      </c>
      <c r="C31" s="52">
        <v>4.218</v>
      </c>
      <c r="D31" s="52">
        <v>5.1059999999999999</v>
      </c>
      <c r="E31" s="4">
        <v>4.25</v>
      </c>
      <c r="F31" s="4">
        <v>4.4569999999999999</v>
      </c>
      <c r="G31" s="53">
        <f t="shared" si="3"/>
        <v>3.0563514804202514E-2</v>
      </c>
      <c r="H31" s="53">
        <f t="shared" si="4"/>
        <v>0.61986628462273163</v>
      </c>
      <c r="I31" s="53">
        <f t="shared" si="5"/>
        <v>0.14034808447415906</v>
      </c>
      <c r="J31" s="53">
        <f t="shared" si="6"/>
        <v>0.17213201740422371</v>
      </c>
      <c r="K31" s="54">
        <f t="shared" si="7"/>
        <v>0.21251862577931183</v>
      </c>
    </row>
    <row r="32" spans="1:18" x14ac:dyDescent="0.35">
      <c r="A32" s="30">
        <v>3</v>
      </c>
      <c r="B32" s="30">
        <v>100</v>
      </c>
      <c r="C32" s="52">
        <v>4.218</v>
      </c>
      <c r="D32" s="52">
        <v>5.1059999999999999</v>
      </c>
      <c r="E32" s="4">
        <v>4.1719999999999997</v>
      </c>
      <c r="F32" s="4">
        <v>4.2229999999999999</v>
      </c>
      <c r="G32" s="53">
        <f t="shared" si="3"/>
        <v>-4.3935052531041324E-2</v>
      </c>
      <c r="H32" s="53">
        <f t="shared" si="4"/>
        <v>0.84336198662846229</v>
      </c>
      <c r="I32" s="53">
        <f t="shared" si="5"/>
        <v>0.14034808447415906</v>
      </c>
      <c r="J32" s="53">
        <f t="shared" si="6"/>
        <v>0.17213201740422371</v>
      </c>
      <c r="K32" s="54">
        <f t="shared" si="7"/>
        <v>0.48450994616924981</v>
      </c>
    </row>
    <row r="33" spans="1:11" x14ac:dyDescent="0.35">
      <c r="A33" s="30">
        <v>4</v>
      </c>
      <c r="B33" s="30">
        <v>100</v>
      </c>
      <c r="C33" s="52">
        <v>2.0840000000000001</v>
      </c>
      <c r="D33" s="52">
        <v>8.3330000000000002</v>
      </c>
      <c r="E33" s="52">
        <v>2.1019999999999999</v>
      </c>
      <c r="F33" s="52">
        <v>8.1959999999999997</v>
      </c>
      <c r="G33" s="53">
        <f t="shared" ref="G33:G38" si="9">(E33-C33)/(0.01047*$B33)</f>
        <v>1.7191977077363703E-2</v>
      </c>
      <c r="H33" s="53">
        <f t="shared" si="4"/>
        <v>0.13085004775549233</v>
      </c>
      <c r="I33" s="53">
        <f t="shared" ref="I33:I38" si="10">AVERAGE(G:G)</f>
        <v>0.14034808447415906</v>
      </c>
      <c r="J33" s="53">
        <f t="shared" ref="J33:J38" si="11">AVERAGE(H:H)</f>
        <v>0.17213201740422371</v>
      </c>
      <c r="K33" s="54">
        <f t="shared" ref="K33:K38" si="12">POWER(G33-I33,2)+POWER(H33-J33,2)</f>
        <v>1.6871627807209771E-2</v>
      </c>
    </row>
    <row r="34" spans="1:11" x14ac:dyDescent="0.35">
      <c r="A34" s="30">
        <v>4</v>
      </c>
      <c r="B34" s="30">
        <v>100</v>
      </c>
      <c r="C34" s="52">
        <v>2.0840000000000001</v>
      </c>
      <c r="D34" s="52">
        <v>8.3330000000000002</v>
      </c>
      <c r="E34" s="52">
        <v>2.448</v>
      </c>
      <c r="F34" s="52">
        <v>8.1419999999999995</v>
      </c>
      <c r="G34" s="53">
        <f t="shared" si="9"/>
        <v>0.34765998089780314</v>
      </c>
      <c r="H34" s="53">
        <f t="shared" si="4"/>
        <v>0.18242597898758428</v>
      </c>
      <c r="I34" s="53">
        <f t="shared" si="10"/>
        <v>0.14034808447415906</v>
      </c>
      <c r="J34" s="53">
        <f t="shared" si="11"/>
        <v>0.17213201740422371</v>
      </c>
      <c r="K34" s="54">
        <f t="shared" si="12"/>
        <v>4.3084188043847442E-2</v>
      </c>
    </row>
    <row r="35" spans="1:11" x14ac:dyDescent="0.35">
      <c r="A35" s="30">
        <v>4</v>
      </c>
      <c r="B35" s="30">
        <v>100</v>
      </c>
      <c r="C35" s="52">
        <v>2.0840000000000001</v>
      </c>
      <c r="D35" s="52">
        <v>8.3330000000000002</v>
      </c>
      <c r="E35" s="52">
        <v>2.484</v>
      </c>
      <c r="F35" s="52">
        <v>8.6509999999999998</v>
      </c>
      <c r="G35" s="53">
        <f t="shared" si="9"/>
        <v>0.38204393505253098</v>
      </c>
      <c r="H35" s="53">
        <f t="shared" si="4"/>
        <v>-0.30372492836676185</v>
      </c>
      <c r="I35" s="53">
        <f t="shared" si="10"/>
        <v>0.14034808447415906</v>
      </c>
      <c r="J35" s="53">
        <f t="shared" si="11"/>
        <v>0.17213201740422371</v>
      </c>
      <c r="K35" s="54">
        <f t="shared" si="12"/>
        <v>0.28485671702529342</v>
      </c>
    </row>
    <row r="36" spans="1:11" x14ac:dyDescent="0.35">
      <c r="A36" s="30">
        <v>4</v>
      </c>
      <c r="B36" s="30">
        <v>100</v>
      </c>
      <c r="C36" s="52">
        <v>2.0840000000000001</v>
      </c>
      <c r="D36" s="52">
        <v>8.3330000000000002</v>
      </c>
      <c r="E36" s="52">
        <v>2.302</v>
      </c>
      <c r="F36" s="52">
        <v>8.66</v>
      </c>
      <c r="G36" s="53">
        <f t="shared" si="9"/>
        <v>0.20821394460362941</v>
      </c>
      <c r="H36" s="53">
        <f t="shared" si="4"/>
        <v>-0.31232091690544411</v>
      </c>
      <c r="I36" s="53">
        <f t="shared" si="10"/>
        <v>0.14034808447415906</v>
      </c>
      <c r="J36" s="53">
        <f t="shared" si="11"/>
        <v>0.17213201740422371</v>
      </c>
      <c r="K36" s="54">
        <f t="shared" si="12"/>
        <v>0.2393004205323602</v>
      </c>
    </row>
    <row r="37" spans="1:11" x14ac:dyDescent="0.35">
      <c r="A37" s="30">
        <v>4</v>
      </c>
      <c r="B37" s="30">
        <v>100</v>
      </c>
      <c r="C37" s="52">
        <v>2.0840000000000001</v>
      </c>
      <c r="D37" s="52">
        <v>8.3330000000000002</v>
      </c>
      <c r="E37" s="52">
        <v>2.3660000000000001</v>
      </c>
      <c r="F37" s="52">
        <v>8.4689999999999994</v>
      </c>
      <c r="G37" s="53">
        <f t="shared" si="9"/>
        <v>0.26934097421203446</v>
      </c>
      <c r="H37" s="53">
        <f t="shared" si="4"/>
        <v>-0.12989493791785983</v>
      </c>
      <c r="I37" s="53">
        <f t="shared" si="10"/>
        <v>0.14034808447415906</v>
      </c>
      <c r="J37" s="53">
        <f t="shared" si="11"/>
        <v>0.17213201740422371</v>
      </c>
      <c r="K37" s="54">
        <f t="shared" si="12"/>
        <v>0.10785944734405555</v>
      </c>
    </row>
    <row r="38" spans="1:11" x14ac:dyDescent="0.35">
      <c r="A38" s="30">
        <v>4</v>
      </c>
      <c r="B38" s="30">
        <v>100</v>
      </c>
      <c r="C38" s="52">
        <v>2.0840000000000001</v>
      </c>
      <c r="D38" s="52">
        <v>8.3330000000000002</v>
      </c>
      <c r="E38" s="52">
        <v>2.302</v>
      </c>
      <c r="F38" s="52">
        <v>8.2870000000000008</v>
      </c>
      <c r="G38" s="53">
        <f t="shared" si="9"/>
        <v>0.20821394460362941</v>
      </c>
      <c r="H38" s="53">
        <f t="shared" si="4"/>
        <v>4.3935052531040478E-2</v>
      </c>
      <c r="I38" s="53">
        <f t="shared" si="10"/>
        <v>0.14034808447415906</v>
      </c>
      <c r="J38" s="53">
        <f t="shared" si="11"/>
        <v>0.17213201740422371</v>
      </c>
      <c r="K38" s="54">
        <f t="shared" si="12"/>
        <v>2.1040236773809003E-2</v>
      </c>
    </row>
  </sheetData>
  <mergeCells count="3">
    <mergeCell ref="E1:F1"/>
    <mergeCell ref="G1:K1"/>
    <mergeCell ref="C1:D1"/>
  </mergeCell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2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35"/>
  <cols>
    <col min="1" max="1" width="6.265625" bestFit="1" customWidth="1"/>
    <col min="2" max="2" width="8.265625" style="27" bestFit="1" customWidth="1"/>
    <col min="5" max="5" width="8.9296875" style="5"/>
    <col min="7" max="8" width="8.73046875" style="6"/>
    <col min="9" max="10" width="8.73046875" style="50"/>
    <col min="11" max="11" width="8.9296875" style="27"/>
    <col min="12" max="12" width="8.73046875" style="32"/>
    <col min="13" max="13" width="18.33203125" style="50" bestFit="1" customWidth="1"/>
    <col min="14" max="15" width="8.73046875" style="50"/>
    <col min="16" max="16" width="11.06640625" customWidth="1"/>
    <col min="17" max="17" width="10.9296875" customWidth="1"/>
    <col min="18" max="18" width="11.53125" style="9" customWidth="1"/>
    <col min="19" max="20" width="11.796875" style="9" customWidth="1"/>
    <col min="21" max="22" width="8.9296875" style="1"/>
  </cols>
  <sheetData>
    <row r="1" spans="1:25" ht="13.5" thickBot="1" x14ac:dyDescent="0.45">
      <c r="A1" s="6"/>
      <c r="B1" s="59" t="s">
        <v>25</v>
      </c>
      <c r="C1" s="88" t="s">
        <v>37</v>
      </c>
      <c r="D1" s="89"/>
      <c r="E1" s="90" t="s">
        <v>13</v>
      </c>
      <c r="F1" s="91"/>
      <c r="G1" s="91"/>
      <c r="H1" s="91"/>
      <c r="I1" s="91"/>
      <c r="J1" s="91"/>
      <c r="K1" s="91"/>
      <c r="L1" s="60"/>
      <c r="M1" s="64" t="s">
        <v>30</v>
      </c>
      <c r="N1" s="65">
        <f>ROUND(10*N3,0)</f>
        <v>6</v>
      </c>
      <c r="O1"/>
      <c r="P1" s="14" t="s">
        <v>5</v>
      </c>
      <c r="Q1" s="19" t="s">
        <v>7</v>
      </c>
      <c r="R1" s="20" t="s">
        <v>12</v>
      </c>
      <c r="S1" s="50" t="s">
        <v>45</v>
      </c>
      <c r="T1" s="50" t="s">
        <v>44</v>
      </c>
      <c r="U1" s="15" t="s">
        <v>39</v>
      </c>
      <c r="V1" s="15" t="s">
        <v>40</v>
      </c>
      <c r="W1" s="16" t="s">
        <v>10</v>
      </c>
      <c r="X1" s="17" t="s">
        <v>11</v>
      </c>
      <c r="Y1" s="18">
        <v>0.9</v>
      </c>
    </row>
    <row r="2" spans="1:25" ht="13.15" x14ac:dyDescent="0.4">
      <c r="A2" s="25" t="s">
        <v>5</v>
      </c>
      <c r="B2" s="29" t="s">
        <v>26</v>
      </c>
      <c r="C2" s="25" t="s">
        <v>2</v>
      </c>
      <c r="D2" s="25" t="s">
        <v>1</v>
      </c>
      <c r="E2" s="26" t="s">
        <v>2</v>
      </c>
      <c r="F2" s="26" t="s">
        <v>1</v>
      </c>
      <c r="G2" s="26" t="s">
        <v>4</v>
      </c>
      <c r="H2" s="26" t="s">
        <v>3</v>
      </c>
      <c r="I2" s="26" t="s">
        <v>41</v>
      </c>
      <c r="J2" s="26" t="s">
        <v>42</v>
      </c>
      <c r="K2" s="28" t="s">
        <v>0</v>
      </c>
      <c r="L2" s="72"/>
      <c r="M2" s="62" t="s">
        <v>29</v>
      </c>
      <c r="N2" s="63">
        <f>SQRT(GETPIVOTDATA("Sum Radius^2",$P$1)/CHIINV(0.5,2*GETPIVOTDATA("Count of Group",$P$1)-2*COUNT(P:P)))</f>
        <v>0.4871602588997907</v>
      </c>
      <c r="O2"/>
      <c r="P2" s="50">
        <v>1</v>
      </c>
      <c r="Q2" s="21">
        <v>3.1128544836631438</v>
      </c>
      <c r="R2" s="2">
        <v>10</v>
      </c>
      <c r="S2" s="82">
        <v>0.48262511358149146</v>
      </c>
      <c r="T2" s="82">
        <v>0.33607398017024231</v>
      </c>
      <c r="U2" s="1">
        <f>2*R2-1</f>
        <v>19</v>
      </c>
      <c r="V2" s="1">
        <f>1/EXP(LN(SQRT(2/(U2-1))) + GAMMALN(U2/2) - GAMMALN((U2-1)/2))</f>
        <v>1.0139785697898209</v>
      </c>
      <c r="W2" s="13">
        <f>V2*SQRT(Q2/(2*(R2-1)))</f>
        <v>0.42166925190293753</v>
      </c>
      <c r="X2" s="3">
        <f>SQRT(Q2/CHIINV((1-Y$1)/2,2*R2-2))</f>
        <v>0.32836834728260472</v>
      </c>
      <c r="Y2" s="3">
        <f>SQRT(Q2/CHIINV(0.5+Y$1/2,2*R2-2))</f>
        <v>0.57575284126391324</v>
      </c>
    </row>
    <row r="3" spans="1:25" ht="13.15" x14ac:dyDescent="0.4">
      <c r="A3" s="4">
        <v>1</v>
      </c>
      <c r="B3" s="30">
        <v>203</v>
      </c>
      <c r="C3" s="4">
        <v>11.321</v>
      </c>
      <c r="D3" s="4">
        <v>9.2530000000000001</v>
      </c>
      <c r="E3" s="5">
        <f>(C3)/(0.01047*$B3)</f>
        <v>5.3265017102582561</v>
      </c>
      <c r="F3" s="5">
        <f>(D3)/(0.01047*$B3)</f>
        <v>4.3535129692624013</v>
      </c>
      <c r="G3" s="5">
        <f t="shared" ref="G3:G32" si="0">AVERAGEIF($A:$A,"="&amp;$A3,E:E)</f>
        <v>4.9676532998339145</v>
      </c>
      <c r="H3" s="5">
        <f t="shared" ref="H3:H32" si="1">AVERAGEIF($A:$A,"="&amp;$A3,F:F)</f>
        <v>3.7424779219068318</v>
      </c>
      <c r="I3" s="53">
        <f>E3-G3</f>
        <v>0.35884841042434168</v>
      </c>
      <c r="J3" s="50">
        <f>H3-F3</f>
        <v>-0.61103504735556946</v>
      </c>
      <c r="K3" s="7">
        <f>POWER(E3-G3,2)+POWER(F3-H3,2)</f>
        <v>0.50213601076089986</v>
      </c>
      <c r="M3" s="66" t="s">
        <v>31</v>
      </c>
      <c r="N3" s="67">
        <f>SQRT(GETPIVOTDATA("Sum Radius^2",$P$1)/CHIINV(0.9,2*GETPIVOTDATA("Count of Group",$P$1)-2*COUNT(P:P)))</f>
        <v>0.55439341133252873</v>
      </c>
      <c r="O3"/>
      <c r="P3" s="50">
        <v>2</v>
      </c>
      <c r="Q3" s="21">
        <v>4.0304329728507193</v>
      </c>
      <c r="R3" s="2">
        <v>10</v>
      </c>
      <c r="S3" s="82">
        <v>0.42821040549048134</v>
      </c>
      <c r="T3" s="82">
        <v>0.51425843162944807</v>
      </c>
      <c r="U3" s="1">
        <f>2*R3-1</f>
        <v>19</v>
      </c>
      <c r="V3" s="1">
        <f>1/EXP(LN(SQRT(2/(U3-1))) + GAMMALN(U3/2) - GAMMALN((U3-1)/2))</f>
        <v>1.0139785697898209</v>
      </c>
      <c r="W3" s="13">
        <f>V3*SQRT(Q3/(2*(R3-1)))</f>
        <v>0.47980898388537269</v>
      </c>
      <c r="X3" s="3">
        <f>SQRT(Q3/CHIINV((1-Y$1)/2,2*R3-2))</f>
        <v>0.37364375595034499</v>
      </c>
      <c r="Y3" s="3">
        <f>SQRT(Q3/CHIINV(0.5+Y$1/2,2*R3-2))</f>
        <v>0.65513760960579548</v>
      </c>
    </row>
    <row r="4" spans="1:25" ht="13.15" x14ac:dyDescent="0.4">
      <c r="A4" s="4">
        <v>1</v>
      </c>
      <c r="B4" s="30">
        <v>203</v>
      </c>
      <c r="C4" s="4">
        <v>12.326000000000001</v>
      </c>
      <c r="D4" s="4">
        <v>7.5090000000000003</v>
      </c>
      <c r="E4" s="5">
        <f t="shared" ref="E4:E32" si="2">(C4)/(0.01047*$B4)</f>
        <v>5.7993516545043073</v>
      </c>
      <c r="F4" s="5">
        <f t="shared" ref="F4:F32" si="3">(D4)/(0.01047*$B4)</f>
        <v>3.5329654043219896</v>
      </c>
      <c r="G4" s="5">
        <f t="shared" si="0"/>
        <v>4.9676532998339145</v>
      </c>
      <c r="H4" s="5">
        <f t="shared" si="1"/>
        <v>3.7424779219068318</v>
      </c>
      <c r="I4" s="53">
        <f t="shared" ref="I4:I32" si="4">E4-G4</f>
        <v>0.83169835467039288</v>
      </c>
      <c r="J4" s="50">
        <f t="shared" ref="J4:J32" si="5">H4-F4</f>
        <v>0.20951251758484224</v>
      </c>
      <c r="K4" s="7">
        <f t="shared" ref="K4:K32" si="6">POWER(E4-G4,2)+POWER(F4-H4,2)</f>
        <v>0.73561764818617736</v>
      </c>
      <c r="P4" s="50">
        <v>3</v>
      </c>
      <c r="Q4" s="21">
        <v>5.5144041243110422</v>
      </c>
      <c r="R4" s="2">
        <v>10</v>
      </c>
      <c r="S4" s="82">
        <v>0.32371877284751321</v>
      </c>
      <c r="T4" s="82">
        <v>0.71268346793930459</v>
      </c>
      <c r="U4" s="1">
        <f>2*R4-1</f>
        <v>19</v>
      </c>
      <c r="V4" s="1">
        <f>1/EXP(LN(SQRT(2/(U4-1))) + GAMMALN(U4/2) - GAMMALN((U4-1)/2))</f>
        <v>1.0139785697898209</v>
      </c>
      <c r="W4" s="13">
        <f>V4*SQRT(Q4/(2*(R4-1)))</f>
        <v>0.56123121631316253</v>
      </c>
      <c r="X4" s="3">
        <f>SQRT(Q4/CHIINV((1-Y$1)/2,2*R4-2))</f>
        <v>0.43705004837910344</v>
      </c>
      <c r="Y4" s="3">
        <f>SQRT(Q4/CHIINV(0.5+Y$1/2,2*R4-2))</f>
        <v>0.76631261572917686</v>
      </c>
    </row>
    <row r="5" spans="1:25" ht="13.15" x14ac:dyDescent="0.4">
      <c r="A5" s="4">
        <v>1</v>
      </c>
      <c r="B5" s="30">
        <v>203</v>
      </c>
      <c r="C5" s="4">
        <v>11.153</v>
      </c>
      <c r="D5" s="4">
        <v>8.0459999999999994</v>
      </c>
      <c r="E5" s="5">
        <f t="shared" si="2"/>
        <v>5.247458137488767</v>
      </c>
      <c r="F5" s="5">
        <f t="shared" si="3"/>
        <v>3.7856225387101778</v>
      </c>
      <c r="G5" s="5">
        <f t="shared" si="0"/>
        <v>4.9676532998339145</v>
      </c>
      <c r="H5" s="5">
        <f t="shared" si="1"/>
        <v>3.7424779219068318</v>
      </c>
      <c r="I5" s="53">
        <f t="shared" si="4"/>
        <v>0.27980483765485253</v>
      </c>
      <c r="J5" s="50">
        <f t="shared" si="5"/>
        <v>-4.3144616803346025E-2</v>
      </c>
      <c r="K5" s="7">
        <f t="shared" si="6"/>
        <v>8.0152205134165946E-2</v>
      </c>
      <c r="M5" s="80" t="s">
        <v>46</v>
      </c>
      <c r="N5" s="84" t="s">
        <v>13</v>
      </c>
      <c r="P5" s="55" t="s">
        <v>6</v>
      </c>
      <c r="Q5" s="22">
        <v>12.657691580824906</v>
      </c>
      <c r="R5" s="23">
        <v>30</v>
      </c>
      <c r="S5" s="82">
        <v>0.40213932050171836</v>
      </c>
      <c r="T5" s="82">
        <v>0.52417181380072042</v>
      </c>
      <c r="U5" s="10">
        <f>2*R5+1-2*COUNT(P:P)</f>
        <v>55</v>
      </c>
      <c r="V5" s="56">
        <f>1/EXP(LN(SQRT(2/(U5-1))) + GAMMALN(U5/2) - GAMMALN((U5-1)/2))</f>
        <v>1.0046400971928902</v>
      </c>
      <c r="W5" s="11">
        <f>V5*SQRT(Q5/(2*(R5-COUNT(P:P))))</f>
        <v>0.48639699426504135</v>
      </c>
      <c r="X5" s="12">
        <f>SQRT(Q5/CHIINV((1-Y$1)/2,2*R5-2*COUNT(P:P)))</f>
        <v>0.41884121197449597</v>
      </c>
      <c r="Y5" s="24">
        <f>SQRT(Q5/CHIINV(0.5+Y$1/2,2*R5-2*COUNT(P:P)))</f>
        <v>0.57626514616783531</v>
      </c>
    </row>
    <row r="6" spans="1:25" ht="13.15" x14ac:dyDescent="0.4">
      <c r="A6" s="4">
        <v>1</v>
      </c>
      <c r="B6" s="30">
        <v>203</v>
      </c>
      <c r="C6" s="4">
        <v>11.108000000000001</v>
      </c>
      <c r="D6" s="4">
        <v>7.5659999999999998</v>
      </c>
      <c r="E6" s="5">
        <f t="shared" si="2"/>
        <v>5.226285751925511</v>
      </c>
      <c r="F6" s="5">
        <f t="shared" si="3"/>
        <v>3.5597837593687807</v>
      </c>
      <c r="G6" s="5">
        <f t="shared" si="0"/>
        <v>4.9676532998339145</v>
      </c>
      <c r="H6" s="5">
        <f t="shared" si="1"/>
        <v>3.7424779219068318</v>
      </c>
      <c r="I6" s="53">
        <f t="shared" si="4"/>
        <v>0.25863245209159658</v>
      </c>
      <c r="J6" s="50">
        <f t="shared" si="5"/>
        <v>0.18269416253805115</v>
      </c>
      <c r="K6" s="7">
        <f t="shared" si="6"/>
        <v>0.10026790230039184</v>
      </c>
      <c r="M6" s="79">
        <f>1-EXP(-POWER(N6/$N$3,2)/2)</f>
        <v>9.6676856825519186E-2</v>
      </c>
      <c r="N6" s="78">
        <v>0.25</v>
      </c>
      <c r="R6" s="8"/>
      <c r="S6" s="8"/>
      <c r="T6" s="8"/>
      <c r="Y6" s="31"/>
    </row>
    <row r="7" spans="1:25" ht="13.15" x14ac:dyDescent="0.4">
      <c r="A7" s="4">
        <v>1</v>
      </c>
      <c r="B7" s="30">
        <v>203</v>
      </c>
      <c r="C7" s="4">
        <v>10.593999999999999</v>
      </c>
      <c r="D7" s="4">
        <v>8.8279999999999994</v>
      </c>
      <c r="E7" s="5">
        <f t="shared" si="2"/>
        <v>4.9844500590474308</v>
      </c>
      <c r="F7" s="5">
        <f t="shared" si="3"/>
        <v>4.153551550053872</v>
      </c>
      <c r="G7" s="5">
        <f t="shared" si="0"/>
        <v>4.9676532998339145</v>
      </c>
      <c r="H7" s="5">
        <f t="shared" si="1"/>
        <v>3.7424779219068318</v>
      </c>
      <c r="I7" s="53">
        <f t="shared" si="4"/>
        <v>1.679675921351631E-2</v>
      </c>
      <c r="J7" s="50">
        <f t="shared" si="5"/>
        <v>-0.41107362814704018</v>
      </c>
      <c r="K7" s="7">
        <f t="shared" si="6"/>
        <v>0.16926365887804792</v>
      </c>
      <c r="M7" s="79">
        <f t="shared" ref="M7:M8" si="7">1-EXP(-POWER(N7/$N$3,2)/2)</f>
        <v>0.33415591192349892</v>
      </c>
      <c r="N7" s="78">
        <v>0.5</v>
      </c>
      <c r="R7" s="8"/>
      <c r="S7" s="8"/>
      <c r="T7" s="8"/>
      <c r="U7" s="33"/>
      <c r="V7" s="33"/>
      <c r="W7" s="33"/>
      <c r="X7" s="33"/>
      <c r="Y7" s="34"/>
    </row>
    <row r="8" spans="1:25" ht="13.15" x14ac:dyDescent="0.4">
      <c r="A8" s="4">
        <v>1</v>
      </c>
      <c r="B8" s="30">
        <v>203</v>
      </c>
      <c r="C8" s="4">
        <v>10.315</v>
      </c>
      <c r="D8" s="4">
        <v>8.66</v>
      </c>
      <c r="E8" s="5">
        <f t="shared" si="2"/>
        <v>4.8531812685552431</v>
      </c>
      <c r="F8" s="5">
        <f t="shared" si="3"/>
        <v>4.0745079772843829</v>
      </c>
      <c r="G8" s="5">
        <f t="shared" si="0"/>
        <v>4.9676532998339145</v>
      </c>
      <c r="H8" s="5">
        <f t="shared" si="1"/>
        <v>3.7424779219068318</v>
      </c>
      <c r="I8" s="53">
        <f t="shared" si="4"/>
        <v>-0.11447203127867134</v>
      </c>
      <c r="J8" s="50">
        <f t="shared" si="5"/>
        <v>-0.33203005537755104</v>
      </c>
      <c r="K8" s="7">
        <f t="shared" si="6"/>
        <v>0.12334780361908472</v>
      </c>
      <c r="M8" s="79">
        <f t="shared" si="7"/>
        <v>0.80344224088352312</v>
      </c>
      <c r="N8" s="78">
        <v>1</v>
      </c>
    </row>
    <row r="9" spans="1:25" x14ac:dyDescent="0.35">
      <c r="A9" s="4">
        <v>1</v>
      </c>
      <c r="B9" s="30">
        <v>203</v>
      </c>
      <c r="C9" s="4">
        <v>10.27</v>
      </c>
      <c r="D9" s="4">
        <v>7.5540000000000003</v>
      </c>
      <c r="E9" s="5">
        <f t="shared" si="2"/>
        <v>4.8320088829919872</v>
      </c>
      <c r="F9" s="5">
        <f t="shared" si="3"/>
        <v>3.554137789885246</v>
      </c>
      <c r="G9" s="5">
        <f t="shared" si="0"/>
        <v>4.9676532998339145</v>
      </c>
      <c r="H9" s="5">
        <f t="shared" si="1"/>
        <v>3.7424779219068318</v>
      </c>
      <c r="I9" s="53">
        <f t="shared" si="4"/>
        <v>-0.1356444168419273</v>
      </c>
      <c r="J9" s="50">
        <f t="shared" si="5"/>
        <v>0.18834013202158584</v>
      </c>
      <c r="K9" s="7">
        <f t="shared" si="6"/>
        <v>5.3871413150294915E-2</v>
      </c>
      <c r="M9" s="66" t="s">
        <v>47</v>
      </c>
      <c r="N9" s="83">
        <f>N3*SQRT(LN(4))</f>
        <v>0.65274835891946348</v>
      </c>
    </row>
    <row r="10" spans="1:25" x14ac:dyDescent="0.35">
      <c r="A10" s="4">
        <v>1</v>
      </c>
      <c r="B10" s="30">
        <v>203</v>
      </c>
      <c r="C10" s="4">
        <v>10.259</v>
      </c>
      <c r="D10" s="4">
        <v>7.3529999999999998</v>
      </c>
      <c r="E10" s="5">
        <f t="shared" si="2"/>
        <v>4.8268334109654134</v>
      </c>
      <c r="F10" s="5">
        <f t="shared" si="3"/>
        <v>3.4595678010360351</v>
      </c>
      <c r="G10" s="5">
        <f t="shared" si="0"/>
        <v>4.9676532998339145</v>
      </c>
      <c r="H10" s="5">
        <f t="shared" si="1"/>
        <v>3.7424779219068318</v>
      </c>
      <c r="I10" s="53">
        <f t="shared" si="4"/>
        <v>-0.14081988886850105</v>
      </c>
      <c r="J10" s="50">
        <f t="shared" si="5"/>
        <v>0.2829101208707967</v>
      </c>
      <c r="K10" s="7">
        <f t="shared" si="6"/>
        <v>9.9868377592065793E-2</v>
      </c>
    </row>
    <row r="11" spans="1:25" x14ac:dyDescent="0.35">
      <c r="A11" s="4">
        <v>1</v>
      </c>
      <c r="B11" s="30">
        <v>203</v>
      </c>
      <c r="C11" s="4">
        <v>9.7219999999999995</v>
      </c>
      <c r="D11" s="4">
        <v>7.141</v>
      </c>
      <c r="E11" s="5">
        <f t="shared" si="2"/>
        <v>4.5741762765772247</v>
      </c>
      <c r="F11" s="5">
        <f t="shared" si="3"/>
        <v>3.3598223401602514</v>
      </c>
      <c r="G11" s="5">
        <f t="shared" si="0"/>
        <v>4.9676532998339145</v>
      </c>
      <c r="H11" s="5">
        <f t="shared" si="1"/>
        <v>3.7424779219068318</v>
      </c>
      <c r="I11" s="53">
        <f t="shared" si="4"/>
        <v>-0.39347702325668976</v>
      </c>
      <c r="J11" s="50">
        <f t="shared" si="5"/>
        <v>0.38265558174658043</v>
      </c>
      <c r="K11" s="7">
        <f t="shared" si="6"/>
        <v>0.30124946207275949</v>
      </c>
    </row>
    <row r="12" spans="1:25" x14ac:dyDescent="0.35">
      <c r="A12" s="35">
        <v>1</v>
      </c>
      <c r="B12" s="36">
        <v>203</v>
      </c>
      <c r="C12" s="35">
        <v>8.5150000000000006</v>
      </c>
      <c r="D12" s="35">
        <v>7.633</v>
      </c>
      <c r="E12" s="37">
        <f t="shared" si="2"/>
        <v>4.0062858460250022</v>
      </c>
      <c r="F12" s="37">
        <f t="shared" si="3"/>
        <v>3.5913070889851841</v>
      </c>
      <c r="G12" s="37">
        <f t="shared" si="0"/>
        <v>4.9676532998339145</v>
      </c>
      <c r="H12" s="37">
        <f t="shared" si="1"/>
        <v>3.7424779219068318</v>
      </c>
      <c r="I12" s="37">
        <f t="shared" si="4"/>
        <v>-0.96136745380891231</v>
      </c>
      <c r="J12" s="50">
        <f t="shared" si="5"/>
        <v>0.15117083292164768</v>
      </c>
      <c r="K12" s="37">
        <f t="shared" si="6"/>
        <v>0.9470800019692559</v>
      </c>
    </row>
    <row r="13" spans="1:25" x14ac:dyDescent="0.35">
      <c r="A13" s="4">
        <v>2</v>
      </c>
      <c r="B13" s="30">
        <v>203</v>
      </c>
      <c r="C13" s="4">
        <v>20.562999999999999</v>
      </c>
      <c r="D13" s="4">
        <v>8.8059999999999992</v>
      </c>
      <c r="E13" s="5">
        <f t="shared" si="2"/>
        <v>9.6748392074940828</v>
      </c>
      <c r="F13" s="5">
        <f t="shared" si="3"/>
        <v>4.1432006060007245</v>
      </c>
      <c r="G13" s="5">
        <f t="shared" si="0"/>
        <v>8.9291948377019033</v>
      </c>
      <c r="H13" s="5">
        <f t="shared" si="1"/>
        <v>3.5141455060435396</v>
      </c>
      <c r="I13" s="53">
        <f t="shared" si="4"/>
        <v>0.74564436979217952</v>
      </c>
      <c r="J13" s="50">
        <f t="shared" si="5"/>
        <v>-0.62905509995718489</v>
      </c>
      <c r="K13" s="7">
        <f t="shared" si="6"/>
        <v>0.95169584498492044</v>
      </c>
    </row>
    <row r="14" spans="1:25" x14ac:dyDescent="0.35">
      <c r="A14" s="4">
        <v>2</v>
      </c>
      <c r="B14" s="30">
        <v>203</v>
      </c>
      <c r="C14" s="4">
        <v>19.925999999999998</v>
      </c>
      <c r="D14" s="4">
        <v>8.5489999999999995</v>
      </c>
      <c r="E14" s="5">
        <f t="shared" si="2"/>
        <v>9.3751323274097693</v>
      </c>
      <c r="F14" s="5">
        <f t="shared" si="3"/>
        <v>4.0222827595616844</v>
      </c>
      <c r="G14" s="5">
        <f t="shared" si="0"/>
        <v>8.9291948377019033</v>
      </c>
      <c r="H14" s="5">
        <f t="shared" si="1"/>
        <v>3.5141455060435396</v>
      </c>
      <c r="I14" s="53">
        <f t="shared" si="4"/>
        <v>0.44593748970786606</v>
      </c>
      <c r="J14" s="50">
        <f t="shared" si="5"/>
        <v>-0.50813725351814476</v>
      </c>
      <c r="K14" s="7">
        <f t="shared" si="6"/>
        <v>0.45706371313991645</v>
      </c>
    </row>
    <row r="15" spans="1:25" x14ac:dyDescent="0.35">
      <c r="A15" s="4">
        <v>2</v>
      </c>
      <c r="B15" s="30">
        <v>203</v>
      </c>
      <c r="C15" s="4">
        <v>18.460999999999999</v>
      </c>
      <c r="D15" s="4">
        <v>8.6940000000000008</v>
      </c>
      <c r="E15" s="5">
        <f t="shared" si="2"/>
        <v>8.6858535529615448</v>
      </c>
      <c r="F15" s="5">
        <f t="shared" si="3"/>
        <v>4.0905048908210651</v>
      </c>
      <c r="G15" s="5">
        <f t="shared" si="0"/>
        <v>8.9291948377019033</v>
      </c>
      <c r="H15" s="5">
        <f t="shared" si="1"/>
        <v>3.5141455060435396</v>
      </c>
      <c r="I15" s="53">
        <f t="shared" si="4"/>
        <v>-0.24334128474035843</v>
      </c>
      <c r="J15" s="50">
        <f t="shared" si="5"/>
        <v>-0.57635938477752546</v>
      </c>
      <c r="K15" s="7">
        <f t="shared" si="6"/>
        <v>0.39140512128021587</v>
      </c>
    </row>
    <row r="16" spans="1:25" x14ac:dyDescent="0.35">
      <c r="A16" s="4">
        <v>2</v>
      </c>
      <c r="B16" s="30">
        <v>203</v>
      </c>
      <c r="C16" s="4">
        <v>19.891999999999999</v>
      </c>
      <c r="D16" s="4">
        <v>6.7830000000000004</v>
      </c>
      <c r="E16" s="5">
        <f t="shared" si="2"/>
        <v>9.3591354138730871</v>
      </c>
      <c r="F16" s="5">
        <f t="shared" si="3"/>
        <v>3.191384250568126</v>
      </c>
      <c r="G16" s="5">
        <f t="shared" si="0"/>
        <v>8.9291948377019033</v>
      </c>
      <c r="H16" s="5">
        <f t="shared" si="1"/>
        <v>3.5141455060435396</v>
      </c>
      <c r="I16" s="53">
        <f t="shared" si="4"/>
        <v>0.42994057617118386</v>
      </c>
      <c r="J16" s="50">
        <f t="shared" si="5"/>
        <v>0.32276125547541357</v>
      </c>
      <c r="K16" s="7">
        <f t="shared" si="6"/>
        <v>0.28902372707447477</v>
      </c>
    </row>
    <row r="17" spans="1:11" x14ac:dyDescent="0.35">
      <c r="A17" s="4">
        <v>2</v>
      </c>
      <c r="B17" s="30">
        <v>203</v>
      </c>
      <c r="C17" s="4">
        <v>18.047999999999998</v>
      </c>
      <c r="D17" s="4">
        <v>7.577</v>
      </c>
      <c r="E17" s="5">
        <f t="shared" si="2"/>
        <v>8.4915381032365502</v>
      </c>
      <c r="F17" s="5">
        <f t="shared" si="3"/>
        <v>3.5649592313953544</v>
      </c>
      <c r="G17" s="5">
        <f t="shared" si="0"/>
        <v>8.9291948377019033</v>
      </c>
      <c r="H17" s="5">
        <f t="shared" si="1"/>
        <v>3.5141455060435396</v>
      </c>
      <c r="I17" s="53">
        <f t="shared" si="4"/>
        <v>-0.43765673446535303</v>
      </c>
      <c r="J17" s="50">
        <f t="shared" si="5"/>
        <v>-5.0813725351814831E-2</v>
      </c>
      <c r="K17" s="7">
        <f t="shared" si="6"/>
        <v>0.1941254519070062</v>
      </c>
    </row>
    <row r="18" spans="1:11" x14ac:dyDescent="0.35">
      <c r="A18" s="4">
        <v>2</v>
      </c>
      <c r="B18" s="30">
        <v>203</v>
      </c>
      <c r="C18" s="4">
        <v>18.702999999999999</v>
      </c>
      <c r="D18" s="4">
        <v>7.5659999999999998</v>
      </c>
      <c r="E18" s="5">
        <f t="shared" si="2"/>
        <v>8.7997139375461675</v>
      </c>
      <c r="F18" s="5">
        <f t="shared" si="3"/>
        <v>3.5597837593687807</v>
      </c>
      <c r="G18" s="5">
        <f t="shared" si="0"/>
        <v>8.9291948377019033</v>
      </c>
      <c r="H18" s="5">
        <f t="shared" si="1"/>
        <v>3.5141455060435396</v>
      </c>
      <c r="I18" s="53">
        <f t="shared" si="4"/>
        <v>-0.12948090015573577</v>
      </c>
      <c r="J18" s="50">
        <f t="shared" si="5"/>
        <v>-4.5638253325241074E-2</v>
      </c>
      <c r="K18" s="7">
        <f t="shared" si="6"/>
        <v>1.8848153671718493E-2</v>
      </c>
    </row>
    <row r="19" spans="1:11" x14ac:dyDescent="0.35">
      <c r="A19" s="4">
        <v>2</v>
      </c>
      <c r="B19" s="30">
        <v>203</v>
      </c>
      <c r="C19" s="4">
        <v>18.585000000000001</v>
      </c>
      <c r="D19" s="4">
        <v>7.5540000000000003</v>
      </c>
      <c r="E19" s="5">
        <f t="shared" si="2"/>
        <v>8.7441952376247407</v>
      </c>
      <c r="F19" s="5">
        <f t="shared" si="3"/>
        <v>3.554137789885246</v>
      </c>
      <c r="G19" s="5">
        <f t="shared" si="0"/>
        <v>8.9291948377019033</v>
      </c>
      <c r="H19" s="5">
        <f t="shared" si="1"/>
        <v>3.5141455060435396</v>
      </c>
      <c r="I19" s="53">
        <f t="shared" si="4"/>
        <v>-0.18499960007716254</v>
      </c>
      <c r="J19" s="50">
        <f t="shared" si="5"/>
        <v>-3.9992283841706389E-2</v>
      </c>
      <c r="K19" s="7">
        <f t="shared" si="6"/>
        <v>3.5824234795585684E-2</v>
      </c>
    </row>
    <row r="20" spans="1:11" x14ac:dyDescent="0.35">
      <c r="A20" s="4">
        <v>2</v>
      </c>
      <c r="B20" s="30">
        <v>203</v>
      </c>
      <c r="C20" s="4">
        <v>19.273</v>
      </c>
      <c r="D20" s="4">
        <v>5.5019999999999998</v>
      </c>
      <c r="E20" s="5">
        <f t="shared" si="2"/>
        <v>9.0678974880140775</v>
      </c>
      <c r="F20" s="5">
        <f t="shared" si="3"/>
        <v>2.5886770082007704</v>
      </c>
      <c r="G20" s="5">
        <f t="shared" si="0"/>
        <v>8.9291948377019033</v>
      </c>
      <c r="H20" s="5">
        <f t="shared" si="1"/>
        <v>3.5141455060435396</v>
      </c>
      <c r="I20" s="53">
        <f t="shared" si="4"/>
        <v>0.13870265031217421</v>
      </c>
      <c r="J20" s="50">
        <f t="shared" si="5"/>
        <v>0.92546849784276919</v>
      </c>
      <c r="K20" s="7">
        <f t="shared" si="6"/>
        <v>0.87573036570297302</v>
      </c>
    </row>
    <row r="21" spans="1:11" x14ac:dyDescent="0.35">
      <c r="A21" s="4">
        <v>2</v>
      </c>
      <c r="B21" s="30">
        <v>203</v>
      </c>
      <c r="C21" s="4">
        <v>17.696999999999999</v>
      </c>
      <c r="D21" s="4">
        <v>6.0839999999999996</v>
      </c>
      <c r="E21" s="5">
        <f t="shared" si="2"/>
        <v>8.3263934958431545</v>
      </c>
      <c r="F21" s="5">
        <f t="shared" si="3"/>
        <v>2.8625065281522151</v>
      </c>
      <c r="G21" s="5">
        <f t="shared" si="0"/>
        <v>8.9291948377019033</v>
      </c>
      <c r="H21" s="5">
        <f t="shared" si="1"/>
        <v>3.5141455060435396</v>
      </c>
      <c r="I21" s="53">
        <f t="shared" si="4"/>
        <v>-0.60280134185874878</v>
      </c>
      <c r="J21" s="50">
        <f t="shared" si="5"/>
        <v>0.65163897789132452</v>
      </c>
      <c r="K21" s="7">
        <f t="shared" si="6"/>
        <v>0.78800281525395821</v>
      </c>
    </row>
    <row r="22" spans="1:11" x14ac:dyDescent="0.35">
      <c r="A22" s="35">
        <v>2</v>
      </c>
      <c r="B22" s="36">
        <v>203</v>
      </c>
      <c r="C22" s="35">
        <v>18.634</v>
      </c>
      <c r="D22" s="35">
        <v>7.5750000000000002</v>
      </c>
      <c r="E22" s="37">
        <f t="shared" si="2"/>
        <v>8.7672496130158422</v>
      </c>
      <c r="F22" s="37">
        <f t="shared" si="3"/>
        <v>3.5640182364814317</v>
      </c>
      <c r="G22" s="37">
        <f t="shared" si="0"/>
        <v>8.9291948377019033</v>
      </c>
      <c r="H22" s="37">
        <f t="shared" si="1"/>
        <v>3.5141455060435396</v>
      </c>
      <c r="I22" s="37">
        <f t="shared" si="4"/>
        <v>-0.1619452246860611</v>
      </c>
      <c r="J22" s="50">
        <f t="shared" si="5"/>
        <v>-4.9872730437892088E-2</v>
      </c>
      <c r="K22" s="37">
        <f t="shared" si="6"/>
        <v>2.8713545039949457E-2</v>
      </c>
    </row>
    <row r="23" spans="1:11" x14ac:dyDescent="0.35">
      <c r="A23" s="4">
        <v>3</v>
      </c>
      <c r="B23" s="30">
        <v>203</v>
      </c>
      <c r="C23" s="4">
        <v>28.161999999999999</v>
      </c>
      <c r="D23" s="4">
        <v>8.3699999999999992</v>
      </c>
      <c r="E23" s="5">
        <f t="shared" si="2"/>
        <v>13.250149382942585</v>
      </c>
      <c r="F23" s="5">
        <f t="shared" si="3"/>
        <v>3.9380637147656214</v>
      </c>
      <c r="G23" s="5">
        <f t="shared" si="0"/>
        <v>13.090227297321457</v>
      </c>
      <c r="H23" s="5">
        <f t="shared" si="1"/>
        <v>3.0394135719696438</v>
      </c>
      <c r="I23" s="53">
        <f t="shared" si="4"/>
        <v>0.15992208562112786</v>
      </c>
      <c r="J23" s="50">
        <f t="shared" si="5"/>
        <v>-0.89865014279597766</v>
      </c>
      <c r="K23" s="7">
        <f t="shared" si="6"/>
        <v>0.83314715261664241</v>
      </c>
    </row>
    <row r="24" spans="1:11" x14ac:dyDescent="0.35">
      <c r="A24" s="4">
        <v>3</v>
      </c>
      <c r="B24" s="30">
        <v>203</v>
      </c>
      <c r="C24" s="4">
        <v>27.216000000000001</v>
      </c>
      <c r="D24" s="4">
        <v>7.9370000000000003</v>
      </c>
      <c r="E24" s="5">
        <f t="shared" si="2"/>
        <v>12.805058788657247</v>
      </c>
      <c r="F24" s="5">
        <f t="shared" si="3"/>
        <v>3.7343383159014025</v>
      </c>
      <c r="G24" s="5">
        <f t="shared" si="0"/>
        <v>13.090227297321457</v>
      </c>
      <c r="H24" s="5">
        <f t="shared" si="1"/>
        <v>3.0394135719696438</v>
      </c>
      <c r="I24" s="53">
        <f t="shared" si="4"/>
        <v>-0.28516850866420995</v>
      </c>
      <c r="J24" s="50">
        <f t="shared" si="5"/>
        <v>-0.69492474393175874</v>
      </c>
      <c r="K24" s="7">
        <f t="shared" si="6"/>
        <v>0.56424147806239</v>
      </c>
    </row>
    <row r="25" spans="1:11" x14ac:dyDescent="0.35">
      <c r="A25" s="4">
        <v>3</v>
      </c>
      <c r="B25" s="30">
        <v>203</v>
      </c>
      <c r="C25" s="4">
        <v>28.481999999999999</v>
      </c>
      <c r="D25" s="4">
        <v>7.4459999999999997</v>
      </c>
      <c r="E25" s="5">
        <f t="shared" si="2"/>
        <v>13.400708569170183</v>
      </c>
      <c r="F25" s="5">
        <f t="shared" si="3"/>
        <v>3.5033240645334311</v>
      </c>
      <c r="G25" s="5">
        <f t="shared" si="0"/>
        <v>13.090227297321457</v>
      </c>
      <c r="H25" s="5">
        <f t="shared" si="1"/>
        <v>3.0394135719696438</v>
      </c>
      <c r="I25" s="53">
        <f t="shared" si="4"/>
        <v>0.31048127184872598</v>
      </c>
      <c r="J25" s="50">
        <f t="shared" si="5"/>
        <v>-0.46391049256378736</v>
      </c>
      <c r="K25" s="7">
        <f t="shared" si="6"/>
        <v>0.31161156527957828</v>
      </c>
    </row>
    <row r="26" spans="1:11" x14ac:dyDescent="0.35">
      <c r="A26" s="4">
        <v>3</v>
      </c>
      <c r="B26" s="30">
        <v>203</v>
      </c>
      <c r="C26" s="4">
        <v>28.265000000000001</v>
      </c>
      <c r="D26" s="4">
        <v>7.4059999999999997</v>
      </c>
      <c r="E26" s="5">
        <f t="shared" si="2"/>
        <v>13.298610621009594</v>
      </c>
      <c r="F26" s="5">
        <f t="shared" si="3"/>
        <v>3.4845041662549812</v>
      </c>
      <c r="G26" s="5">
        <f t="shared" si="0"/>
        <v>13.090227297321457</v>
      </c>
      <c r="H26" s="5">
        <f t="shared" si="1"/>
        <v>3.0394135719696438</v>
      </c>
      <c r="I26" s="53">
        <f t="shared" si="4"/>
        <v>0.20838332368813717</v>
      </c>
      <c r="J26" s="50">
        <f t="shared" si="5"/>
        <v>-0.44509059428533737</v>
      </c>
      <c r="K26" s="7">
        <f t="shared" si="6"/>
        <v>0.24152924671258974</v>
      </c>
    </row>
    <row r="27" spans="1:11" x14ac:dyDescent="0.35">
      <c r="A27" s="4">
        <v>3</v>
      </c>
      <c r="B27" s="30">
        <v>203</v>
      </c>
      <c r="C27" s="4">
        <v>27.832000000000001</v>
      </c>
      <c r="D27" s="4">
        <v>7.23</v>
      </c>
      <c r="E27" s="5">
        <f t="shared" si="2"/>
        <v>13.094885222145374</v>
      </c>
      <c r="F27" s="5">
        <f t="shared" si="3"/>
        <v>3.4016966138298024</v>
      </c>
      <c r="G27" s="5">
        <f t="shared" si="0"/>
        <v>13.090227297321457</v>
      </c>
      <c r="H27" s="5">
        <f t="shared" si="1"/>
        <v>3.0394135719696438</v>
      </c>
      <c r="I27" s="53">
        <f t="shared" si="4"/>
        <v>4.6579248239169146E-3</v>
      </c>
      <c r="J27" s="50">
        <f t="shared" si="5"/>
        <v>-0.36228304186015858</v>
      </c>
      <c r="K27" s="7">
        <f t="shared" si="6"/>
        <v>0.13127069868311469</v>
      </c>
    </row>
    <row r="28" spans="1:11" x14ac:dyDescent="0.35">
      <c r="A28" s="4">
        <v>3</v>
      </c>
      <c r="B28" s="30">
        <v>203</v>
      </c>
      <c r="C28" s="4">
        <v>26.43</v>
      </c>
      <c r="D28" s="4">
        <v>7.11</v>
      </c>
      <c r="E28" s="5">
        <f t="shared" si="2"/>
        <v>12.435247787485709</v>
      </c>
      <c r="F28" s="5">
        <f t="shared" si="3"/>
        <v>3.3452369189944529</v>
      </c>
      <c r="G28" s="5">
        <f t="shared" si="0"/>
        <v>13.090227297321457</v>
      </c>
      <c r="H28" s="5">
        <f t="shared" si="1"/>
        <v>3.0394135719696438</v>
      </c>
      <c r="I28" s="53">
        <f t="shared" si="4"/>
        <v>-0.65497950983574782</v>
      </c>
      <c r="J28" s="50">
        <f t="shared" si="5"/>
        <v>-0.30582334702480907</v>
      </c>
      <c r="K28" s="7">
        <f t="shared" si="6"/>
        <v>0.52252607789013328</v>
      </c>
    </row>
    <row r="29" spans="1:11" x14ac:dyDescent="0.35">
      <c r="A29" s="4">
        <v>3</v>
      </c>
      <c r="B29" s="30">
        <v>203</v>
      </c>
      <c r="C29" s="4">
        <v>28.760999999999999</v>
      </c>
      <c r="D29" s="4">
        <v>4.7270000000000003</v>
      </c>
      <c r="E29" s="5">
        <f t="shared" si="2"/>
        <v>13.53197735966237</v>
      </c>
      <c r="F29" s="5">
        <f t="shared" si="3"/>
        <v>2.2240414790558058</v>
      </c>
      <c r="G29" s="5">
        <f t="shared" si="0"/>
        <v>13.090227297321457</v>
      </c>
      <c r="H29" s="5">
        <f t="shared" si="1"/>
        <v>3.0394135719696438</v>
      </c>
      <c r="I29" s="53">
        <f t="shared" si="4"/>
        <v>0.44175006234091363</v>
      </c>
      <c r="J29" s="50">
        <f t="shared" si="5"/>
        <v>0.81537209291383794</v>
      </c>
      <c r="K29" s="7">
        <f t="shared" si="6"/>
        <v>0.85997476748089352</v>
      </c>
    </row>
    <row r="30" spans="1:11" x14ac:dyDescent="0.35">
      <c r="A30" s="4">
        <v>3</v>
      </c>
      <c r="B30" s="30">
        <v>203</v>
      </c>
      <c r="C30" s="4">
        <v>27.312999999999999</v>
      </c>
      <c r="D30" s="4">
        <v>5.4109999999999996</v>
      </c>
      <c r="E30" s="5">
        <f t="shared" si="2"/>
        <v>12.850697041982487</v>
      </c>
      <c r="F30" s="5">
        <f t="shared" si="3"/>
        <v>2.5458617396172971</v>
      </c>
      <c r="G30" s="5">
        <f t="shared" si="0"/>
        <v>13.090227297321457</v>
      </c>
      <c r="H30" s="5">
        <f t="shared" si="1"/>
        <v>3.0394135719696438</v>
      </c>
      <c r="I30" s="53">
        <f t="shared" si="4"/>
        <v>-0.23953025533896977</v>
      </c>
      <c r="J30" s="50">
        <f t="shared" si="5"/>
        <v>0.49355183235234668</v>
      </c>
      <c r="K30" s="7">
        <f t="shared" si="6"/>
        <v>0.30096815444111097</v>
      </c>
    </row>
    <row r="31" spans="1:11" x14ac:dyDescent="0.35">
      <c r="A31" s="4">
        <v>3</v>
      </c>
      <c r="B31" s="30">
        <v>203</v>
      </c>
      <c r="C31" s="4">
        <v>28.053999999999998</v>
      </c>
      <c r="D31" s="4">
        <v>4.43</v>
      </c>
      <c r="E31" s="5">
        <f t="shared" si="2"/>
        <v>13.199335657590771</v>
      </c>
      <c r="F31" s="5">
        <f t="shared" si="3"/>
        <v>2.0843037343383157</v>
      </c>
      <c r="G31" s="5">
        <f t="shared" si="0"/>
        <v>13.090227297321457</v>
      </c>
      <c r="H31" s="5">
        <f t="shared" si="1"/>
        <v>3.0394135719696438</v>
      </c>
      <c r="I31" s="53">
        <f t="shared" si="4"/>
        <v>0.10910836026931392</v>
      </c>
      <c r="J31" s="50">
        <f t="shared" si="5"/>
        <v>0.95510983763132806</v>
      </c>
      <c r="K31" s="7">
        <f t="shared" si="6"/>
        <v>0.92413943622080019</v>
      </c>
    </row>
    <row r="32" spans="1:11" x14ac:dyDescent="0.35">
      <c r="A32" s="4">
        <v>3</v>
      </c>
      <c r="B32" s="30">
        <v>203</v>
      </c>
      <c r="C32" s="4">
        <v>27.706</v>
      </c>
      <c r="D32" s="4">
        <v>4.5330000000000004</v>
      </c>
      <c r="E32" s="5">
        <f t="shared" si="2"/>
        <v>13.035602542568258</v>
      </c>
      <c r="F32" s="5">
        <f t="shared" si="3"/>
        <v>2.1327649724053241</v>
      </c>
      <c r="G32" s="5">
        <f t="shared" si="0"/>
        <v>13.090227297321457</v>
      </c>
      <c r="H32" s="5">
        <f t="shared" si="1"/>
        <v>3.0394135719696438</v>
      </c>
      <c r="I32" s="53">
        <f t="shared" si="4"/>
        <v>-5.4624754753199056E-2</v>
      </c>
      <c r="J32" s="50">
        <f t="shared" si="5"/>
        <v>0.90664859956431965</v>
      </c>
      <c r="K32" s="7">
        <f t="shared" si="6"/>
        <v>0.82499554692378918</v>
      </c>
    </row>
  </sheetData>
  <mergeCells count="2">
    <mergeCell ref="C1:D1"/>
    <mergeCell ref="E1:K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/>
  </sheetViews>
  <sheetFormatPr defaultRowHeight="12.75" x14ac:dyDescent="0.35"/>
  <sheetData>
    <row r="1" spans="1:5" s="50" customFormat="1" x14ac:dyDescent="0.35">
      <c r="B1" s="92" t="s">
        <v>22</v>
      </c>
      <c r="C1" s="93"/>
      <c r="D1" s="92" t="s">
        <v>23</v>
      </c>
      <c r="E1" s="93"/>
    </row>
    <row r="2" spans="1:5" ht="13.15" x14ac:dyDescent="0.4">
      <c r="A2" s="25" t="s">
        <v>5</v>
      </c>
      <c r="B2" s="40" t="s">
        <v>2</v>
      </c>
      <c r="C2" s="44" t="s">
        <v>1</v>
      </c>
      <c r="D2" s="40" t="s">
        <v>14</v>
      </c>
      <c r="E2" s="44" t="s">
        <v>15</v>
      </c>
    </row>
    <row r="3" spans="1:5" x14ac:dyDescent="0.35">
      <c r="A3" s="52">
        <v>1</v>
      </c>
      <c r="B3" s="43">
        <f>'BAC for Overlaid Samples'!G3-'BAC for Overlaid Samples'!I3</f>
        <v>0.32574551628992887</v>
      </c>
      <c r="C3" s="55">
        <f>'BAC for Overlaid Samples'!H3-'BAC for Overlaid Samples'!J3</f>
        <v>-0.61052743287700317</v>
      </c>
      <c r="D3" s="47">
        <f>'BAC for Independent Groups'!E3-'BAC for Independent Groups'!G3</f>
        <v>0.35884841042434168</v>
      </c>
      <c r="E3" s="41">
        <f>'BAC for Independent Groups'!F3-'BAC for Independent Groups'!H3</f>
        <v>0.61103504735556946</v>
      </c>
    </row>
    <row r="4" spans="1:5" x14ac:dyDescent="0.35">
      <c r="A4" s="52">
        <v>1</v>
      </c>
      <c r="B4" s="43">
        <f>'BAC for Overlaid Samples'!G4-'BAC for Overlaid Samples'!I4</f>
        <v>0.61514379709222156</v>
      </c>
      <c r="C4" s="32">
        <f>'BAC for Overlaid Samples'!H4-'BAC for Overlaid Samples'!J4</f>
        <v>-0.61052743287700317</v>
      </c>
      <c r="D4" s="43">
        <f>'BAC for Independent Groups'!E4-'BAC for Independent Groups'!G4</f>
        <v>0.83169835467039288</v>
      </c>
      <c r="E4" s="45">
        <f>'BAC for Independent Groups'!F4-'BAC for Independent Groups'!H4</f>
        <v>-0.20951251758484224</v>
      </c>
    </row>
    <row r="5" spans="1:5" x14ac:dyDescent="0.35">
      <c r="A5" s="52">
        <v>1</v>
      </c>
      <c r="B5" s="43">
        <f>'BAC for Overlaid Samples'!G5-'BAC for Overlaid Samples'!I5</f>
        <v>-6.3939297463652775E-2</v>
      </c>
      <c r="C5" s="32">
        <f>'BAC for Overlaid Samples'!H5-'BAC for Overlaid Samples'!J5</f>
        <v>-0.22179772896105279</v>
      </c>
      <c r="D5" s="43">
        <f>'BAC for Independent Groups'!E5-'BAC for Independent Groups'!G5</f>
        <v>0.27980483765485253</v>
      </c>
      <c r="E5" s="45">
        <f>'BAC for Independent Groups'!F5-'BAC for Independent Groups'!H5</f>
        <v>4.3144616803346025E-2</v>
      </c>
    </row>
    <row r="6" spans="1:5" x14ac:dyDescent="0.35">
      <c r="A6" s="52">
        <v>1</v>
      </c>
      <c r="B6" s="43">
        <f>'BAC for Overlaid Samples'!G6-'BAC for Overlaid Samples'!I6</f>
        <v>-6.3939297463652775E-2</v>
      </c>
      <c r="C6" s="32">
        <f>'BAC for Overlaid Samples'!H6-'BAC for Overlaid Samples'!J6</f>
        <v>4.5633025575719521E-3</v>
      </c>
      <c r="D6" s="43">
        <f>'BAC for Independent Groups'!E6-'BAC for Independent Groups'!G6</f>
        <v>0.25863245209159658</v>
      </c>
      <c r="E6" s="45">
        <f>'BAC for Independent Groups'!F6-'BAC for Independent Groups'!H6</f>
        <v>-0.18269416253805115</v>
      </c>
    </row>
    <row r="7" spans="1:5" x14ac:dyDescent="0.35">
      <c r="A7" s="52">
        <v>1</v>
      </c>
      <c r="B7" s="43">
        <f>'BAC for Overlaid Samples'!G7-'BAC for Overlaid Samples'!I7</f>
        <v>-3.6241112172344353E-2</v>
      </c>
      <c r="C7" s="32">
        <f>'BAC for Overlaid Samples'!H7-'BAC for Overlaid Samples'!J7</f>
        <v>7.7151650217552714E-2</v>
      </c>
      <c r="D7" s="43">
        <f>'BAC for Independent Groups'!E7-'BAC for Independent Groups'!G7</f>
        <v>1.679675921351631E-2</v>
      </c>
      <c r="E7" s="45">
        <f>'BAC for Independent Groups'!F7-'BAC for Independent Groups'!H7</f>
        <v>0.41107362814704018</v>
      </c>
    </row>
    <row r="8" spans="1:5" x14ac:dyDescent="0.35">
      <c r="A8" s="52">
        <v>1</v>
      </c>
      <c r="B8" s="43">
        <f>'BAC for Overlaid Samples'!G8-'BAC for Overlaid Samples'!I8</f>
        <v>0.23501008171495294</v>
      </c>
      <c r="C8" s="32">
        <f>'BAC for Overlaid Samples'!H8-'BAC for Overlaid Samples'!J8</f>
        <v>-0.26668789132972515</v>
      </c>
      <c r="D8" s="43">
        <f>'BAC for Independent Groups'!E8-'BAC for Independent Groups'!G8</f>
        <v>-0.11447203127867134</v>
      </c>
      <c r="E8" s="45">
        <f>'BAC for Independent Groups'!F8-'BAC for Independent Groups'!H8</f>
        <v>0.33203005537755104</v>
      </c>
    </row>
    <row r="9" spans="1:5" x14ac:dyDescent="0.35">
      <c r="A9" s="52">
        <v>1</v>
      </c>
      <c r="B9" s="43">
        <f>'BAC for Overlaid Samples'!G9-'BAC for Overlaid Samples'!I9</f>
        <v>0.64284198238352996</v>
      </c>
      <c r="C9" s="32">
        <f>'BAC for Overlaid Samples'!H9-'BAC for Overlaid Samples'!J9</f>
        <v>-6.8025045102409004E-2</v>
      </c>
      <c r="D9" s="43">
        <f>'BAC for Independent Groups'!E9-'BAC for Independent Groups'!G9</f>
        <v>-0.1356444168419273</v>
      </c>
      <c r="E9" s="45">
        <f>'BAC for Independent Groups'!F9-'BAC for Independent Groups'!H9</f>
        <v>-0.18834013202158584</v>
      </c>
    </row>
    <row r="10" spans="1:5" x14ac:dyDescent="0.35">
      <c r="A10" s="52">
        <v>1</v>
      </c>
      <c r="B10" s="43">
        <f>'BAC for Overlaid Samples'!G10-'BAC for Overlaid Samples'!I10</f>
        <v>0.69632813329088428</v>
      </c>
      <c r="C10" s="32">
        <f>'BAC for Overlaid Samples'!H10-'BAC for Overlaid Samples'!J10</f>
        <v>-0.1587604796773851</v>
      </c>
      <c r="D10" s="43">
        <f>'BAC for Independent Groups'!E10-'BAC for Independent Groups'!G10</f>
        <v>-0.14081988886850105</v>
      </c>
      <c r="E10" s="45">
        <f>'BAC for Independent Groups'!F10-'BAC for Independent Groups'!H10</f>
        <v>-0.2829101208707967</v>
      </c>
    </row>
    <row r="11" spans="1:5" x14ac:dyDescent="0.35">
      <c r="A11" s="52">
        <v>1</v>
      </c>
      <c r="B11" s="43">
        <f>'BAC for Overlaid Samples'!G11-'BAC for Overlaid Samples'!I11</f>
        <v>0.40692985248859215</v>
      </c>
      <c r="C11" s="32">
        <f>'BAC for Overlaid Samples'!H11-'BAC for Overlaid Samples'!J11</f>
        <v>-0.38512151119600968</v>
      </c>
      <c r="D11" s="43">
        <f>'BAC for Independent Groups'!E11-'BAC for Independent Groups'!G11</f>
        <v>-0.39347702325668976</v>
      </c>
      <c r="E11" s="45">
        <f>'BAC for Independent Groups'!F11-'BAC for Independent Groups'!H11</f>
        <v>-0.38265558174658043</v>
      </c>
    </row>
    <row r="12" spans="1:5" x14ac:dyDescent="0.35">
      <c r="A12" s="38">
        <v>1</v>
      </c>
      <c r="B12" s="43">
        <f>'BAC for Overlaid Samples'!G12-'BAC for Overlaid Samples'!I12</f>
        <v>0.47092221160989078</v>
      </c>
      <c r="C12" s="32">
        <f>'BAC for Overlaid Samples'!H12-'BAC for Overlaid Samples'!J12</f>
        <v>-0.48445293430966785</v>
      </c>
      <c r="D12" s="43">
        <f>'BAC for Independent Groups'!E12-'BAC for Independent Groups'!G12</f>
        <v>-0.96136745380891231</v>
      </c>
      <c r="E12" s="45">
        <f>'BAC for Independent Groups'!F12-'BAC for Independent Groups'!H12</f>
        <v>-0.15117083292164768</v>
      </c>
    </row>
    <row r="13" spans="1:5" x14ac:dyDescent="0.35">
      <c r="A13" s="52">
        <v>2</v>
      </c>
      <c r="B13" s="43">
        <f>'BAC for Overlaid Samples'!G13-'BAC for Overlaid Samples'!I13</f>
        <v>-0.37817043404435935</v>
      </c>
      <c r="C13" s="32">
        <f>'BAC for Overlaid Samples'!H13-'BAC for Overlaid Samples'!J13</f>
        <v>-0.48827337366019308</v>
      </c>
      <c r="D13" s="43">
        <f>'BAC for Independent Groups'!E13-'BAC for Independent Groups'!G13</f>
        <v>0.74564436979217952</v>
      </c>
      <c r="E13" s="45">
        <f>'BAC for Independent Groups'!F13-'BAC for Independent Groups'!H13</f>
        <v>0.62905509995718489</v>
      </c>
    </row>
    <row r="14" spans="1:5" x14ac:dyDescent="0.35">
      <c r="A14" s="52">
        <v>2</v>
      </c>
      <c r="B14" s="43">
        <f>'BAC for Overlaid Samples'!G14-'BAC for Overlaid Samples'!I14</f>
        <v>-0.12506632707205781</v>
      </c>
      <c r="C14" s="32">
        <f>'BAC for Overlaid Samples'!H14-'BAC for Overlaid Samples'!J14</f>
        <v>-0.31635360288655401</v>
      </c>
      <c r="D14" s="43">
        <f>'BAC for Independent Groups'!E14-'BAC for Independent Groups'!G14</f>
        <v>0.44593748970786606</v>
      </c>
      <c r="E14" s="45">
        <f>'BAC for Independent Groups'!F14-'BAC for Independent Groups'!H14</f>
        <v>0.50813725351814476</v>
      </c>
    </row>
    <row r="15" spans="1:5" x14ac:dyDescent="0.35">
      <c r="A15" s="52">
        <v>2</v>
      </c>
      <c r="B15" s="43">
        <f>'BAC for Overlaid Samples'!G15-'BAC for Overlaid Samples'!I15</f>
        <v>0.10129470444656696</v>
      </c>
      <c r="C15" s="32">
        <f>'BAC for Overlaid Samples'!H15-'BAC for Overlaid Samples'!J15</f>
        <v>-8.8082351692666261E-3</v>
      </c>
      <c r="D15" s="43">
        <f>'BAC for Independent Groups'!E15-'BAC for Independent Groups'!G15</f>
        <v>-0.24334128474035843</v>
      </c>
      <c r="E15" s="45">
        <f>'BAC for Independent Groups'!F15-'BAC for Independent Groups'!H15</f>
        <v>0.57635938477752546</v>
      </c>
    </row>
    <row r="16" spans="1:5" x14ac:dyDescent="0.35">
      <c r="A16" s="52">
        <v>2</v>
      </c>
      <c r="B16" s="43">
        <f>'BAC for Overlaid Samples'!G16-'BAC for Overlaid Samples'!I16</f>
        <v>-0.28743499946938345</v>
      </c>
      <c r="C16" s="32">
        <f>'BAC for Overlaid Samples'!H16-'BAC for Overlaid Samples'!J16</f>
        <v>0.36272949166931989</v>
      </c>
      <c r="D16" s="43">
        <f>'BAC for Independent Groups'!E16-'BAC for Independent Groups'!G16</f>
        <v>0.42994057617118386</v>
      </c>
      <c r="E16" s="45">
        <f>'BAC for Independent Groups'!F16-'BAC for Independent Groups'!H16</f>
        <v>-0.32276125547541357</v>
      </c>
    </row>
    <row r="17" spans="1:5" x14ac:dyDescent="0.35">
      <c r="A17" s="52">
        <v>2</v>
      </c>
      <c r="B17" s="43">
        <f>'BAC for Overlaid Samples'!G17-'BAC for Overlaid Samples'!I17</f>
        <v>-0.5414942162793166</v>
      </c>
      <c r="C17" s="32">
        <f>'BAC for Overlaid Samples'!H17-'BAC for Overlaid Samples'!J17</f>
        <v>-5.3698397537939188E-2</v>
      </c>
      <c r="D17" s="43">
        <f>'BAC for Independent Groups'!E17-'BAC for Independent Groups'!G17</f>
        <v>-0.43765673446535303</v>
      </c>
      <c r="E17" s="45">
        <f>'BAC for Independent Groups'!F17-'BAC for Independent Groups'!H17</f>
        <v>5.0813725351814831E-2</v>
      </c>
    </row>
    <row r="18" spans="1:5" x14ac:dyDescent="0.35">
      <c r="A18" s="52">
        <v>2</v>
      </c>
      <c r="B18" s="43">
        <f>'BAC for Overlaid Samples'!G18-'BAC for Overlaid Samples'!I18</f>
        <v>-1.6183805582086569E-2</v>
      </c>
      <c r="C18" s="32">
        <f>'BAC for Overlaid Samples'!H18-'BAC for Overlaid Samples'!J18</f>
        <v>-7.1845484452934316E-2</v>
      </c>
      <c r="D18" s="43">
        <f>'BAC for Independent Groups'!E18-'BAC for Independent Groups'!G18</f>
        <v>-0.12948090015573577</v>
      </c>
      <c r="E18" s="45">
        <f>'BAC for Independent Groups'!F18-'BAC for Independent Groups'!H18</f>
        <v>4.5638253325241074E-2</v>
      </c>
    </row>
    <row r="19" spans="1:5" x14ac:dyDescent="0.35">
      <c r="A19" s="52">
        <v>2</v>
      </c>
      <c r="B19" s="43">
        <f>'BAC for Overlaid Samples'!G19-'BAC for Overlaid Samples'!I19</f>
        <v>-0.14321341398705315</v>
      </c>
      <c r="C19" s="32">
        <f>'BAC for Overlaid Samples'!H19-'BAC for Overlaid Samples'!J19</f>
        <v>-8.8082351692666261E-3</v>
      </c>
      <c r="D19" s="43">
        <f>'BAC for Independent Groups'!E19-'BAC for Independent Groups'!G19</f>
        <v>-0.18499960007716254</v>
      </c>
      <c r="E19" s="45">
        <f>'BAC for Independent Groups'!F19-'BAC for Independent Groups'!H19</f>
        <v>3.9992283841706389E-2</v>
      </c>
    </row>
    <row r="20" spans="1:5" x14ac:dyDescent="0.35">
      <c r="A20" s="52">
        <v>2</v>
      </c>
      <c r="B20" s="43">
        <f>'BAC for Overlaid Samples'!G20-'BAC for Overlaid Samples'!I20</f>
        <v>-0.32372917329937412</v>
      </c>
      <c r="C20" s="32">
        <f>'BAC for Overlaid Samples'!H20-'BAC for Overlaid Samples'!J20</f>
        <v>1.8889950122041782E-2</v>
      </c>
      <c r="D20" s="43">
        <f>'BAC for Independent Groups'!E20-'BAC for Independent Groups'!G20</f>
        <v>0.13870265031217421</v>
      </c>
      <c r="E20" s="45">
        <f>'BAC for Independent Groups'!F20-'BAC for Independent Groups'!H20</f>
        <v>-0.92546849784276919</v>
      </c>
    </row>
    <row r="21" spans="1:5" x14ac:dyDescent="0.35">
      <c r="A21" s="52">
        <v>2</v>
      </c>
      <c r="B21" s="43">
        <f>'BAC for Overlaid Samples'!G21-'BAC for Overlaid Samples'!I21</f>
        <v>-0.34187626021436862</v>
      </c>
      <c r="C21" s="32">
        <f>'BAC for Overlaid Samples'!H21-'BAC for Overlaid Samples'!J21</f>
        <v>-0.14443383211291527</v>
      </c>
      <c r="D21" s="43">
        <f>'BAC for Independent Groups'!E21-'BAC for Independent Groups'!G21</f>
        <v>-0.60280134185874878</v>
      </c>
      <c r="E21" s="45">
        <f>'BAC for Independent Groups'!F21-'BAC for Independent Groups'!H21</f>
        <v>-0.65163897789132452</v>
      </c>
    </row>
    <row r="22" spans="1:5" x14ac:dyDescent="0.35">
      <c r="A22" s="38">
        <v>2</v>
      </c>
      <c r="B22" s="43">
        <f>'BAC for Overlaid Samples'!G22-'BAC for Overlaid Samples'!I22</f>
        <v>-0.36002334712936401</v>
      </c>
      <c r="C22" s="32">
        <f>'BAC for Overlaid Samples'!H22-'BAC for Overlaid Samples'!J22</f>
        <v>-0.28865541759524577</v>
      </c>
      <c r="D22" s="43">
        <f>'BAC for Independent Groups'!E22-'BAC for Independent Groups'!G22</f>
        <v>-0.1619452246860611</v>
      </c>
      <c r="E22" s="45">
        <f>'BAC for Independent Groups'!F22-'BAC for Independent Groups'!H22</f>
        <v>4.9872730437892088E-2</v>
      </c>
    </row>
    <row r="23" spans="1:5" x14ac:dyDescent="0.35">
      <c r="A23" s="52">
        <v>3</v>
      </c>
      <c r="B23" s="43">
        <f>'BAC for Overlaid Samples'!G23-'BAC for Overlaid Samples'!I23</f>
        <v>-0.48896317520959343</v>
      </c>
      <c r="C23" s="32">
        <f>'BAC for Overlaid Samples'!H23-'BAC for Overlaid Samples'!J23</f>
        <v>1.0676005518412395</v>
      </c>
      <c r="D23" s="43">
        <f>'BAC for Independent Groups'!E23-'BAC for Independent Groups'!G23</f>
        <v>0.15992208562112786</v>
      </c>
      <c r="E23" s="45">
        <f>'BAC for Independent Groups'!F23-'BAC for Independent Groups'!H23</f>
        <v>0.89865014279597766</v>
      </c>
    </row>
    <row r="24" spans="1:5" x14ac:dyDescent="0.35">
      <c r="A24" s="52">
        <v>3</v>
      </c>
      <c r="B24" s="43">
        <f>'BAC for Overlaid Samples'!G24-'BAC for Overlaid Samples'!I24</f>
        <v>-0.31513318476069185</v>
      </c>
      <c r="C24" s="32">
        <f>'BAC for Overlaid Samples'!H24-'BAC for Overlaid Samples'!J24</f>
        <v>0.88803990236654984</v>
      </c>
      <c r="D24" s="43">
        <f>'BAC for Independent Groups'!E24-'BAC for Independent Groups'!G24</f>
        <v>-0.28516850866420995</v>
      </c>
      <c r="E24" s="45">
        <f>'BAC for Independent Groups'!F24-'BAC for Independent Groups'!H24</f>
        <v>0.69492474393175874</v>
      </c>
    </row>
    <row r="25" spans="1:5" x14ac:dyDescent="0.35">
      <c r="A25" s="52">
        <v>3</v>
      </c>
      <c r="B25" s="43">
        <f>'BAC for Overlaid Samples'!G25-'BAC for Overlaid Samples'!I25</f>
        <v>-0.45744455056775968</v>
      </c>
      <c r="C25" s="32">
        <f>'BAC for Overlaid Samples'!H25-'BAC for Overlaid Samples'!J25</f>
        <v>0.55279634935795352</v>
      </c>
      <c r="D25" s="43">
        <f>'BAC for Independent Groups'!E25-'BAC for Independent Groups'!G25</f>
        <v>0.31048127184872598</v>
      </c>
      <c r="E25" s="45">
        <f>'BAC for Independent Groups'!F25-'BAC for Independent Groups'!H25</f>
        <v>0.46391049256378736</v>
      </c>
    </row>
    <row r="26" spans="1:5" x14ac:dyDescent="0.35">
      <c r="A26" s="52">
        <v>3</v>
      </c>
      <c r="B26" s="43">
        <f>'BAC for Overlaid Samples'!G26-'BAC for Overlaid Samples'!I26</f>
        <v>-0.20338533375782653</v>
      </c>
      <c r="C26" s="32">
        <f>'BAC for Overlaid Samples'!H26-'BAC for Overlaid Samples'!J26</f>
        <v>5.0408574763875308E-2</v>
      </c>
      <c r="D26" s="43">
        <f>'BAC for Independent Groups'!E26-'BAC for Independent Groups'!G26</f>
        <v>0.20838332368813717</v>
      </c>
      <c r="E26" s="45">
        <f>'BAC for Independent Groups'!F26-'BAC for Independent Groups'!H26</f>
        <v>0.44509059428533737</v>
      </c>
    </row>
    <row r="27" spans="1:5" x14ac:dyDescent="0.35">
      <c r="A27" s="52">
        <v>3</v>
      </c>
      <c r="B27" s="43">
        <f>'BAC for Overlaid Samples'!G27-'BAC for Overlaid Samples'!I27</f>
        <v>0.26270826700626093</v>
      </c>
      <c r="C27" s="32">
        <f>'BAC for Overlaid Samples'!H27-'BAC for Overlaid Samples'!J27</f>
        <v>0.36081927199405694</v>
      </c>
      <c r="D27" s="43">
        <f>'BAC for Independent Groups'!E27-'BAC for Independent Groups'!G27</f>
        <v>4.6579248239169146E-3</v>
      </c>
      <c r="E27" s="45">
        <f>'BAC for Independent Groups'!F27-'BAC for Independent Groups'!H27</f>
        <v>0.36228304186015858</v>
      </c>
    </row>
    <row r="28" spans="1:5" x14ac:dyDescent="0.35">
      <c r="A28" s="52">
        <v>3</v>
      </c>
      <c r="B28" s="43">
        <f>'BAC for Overlaid Samples'!G28-'BAC for Overlaid Samples'!I28</f>
        <v>6.4045420778945455E-2</v>
      </c>
      <c r="C28" s="32">
        <f>'BAC for Overlaid Samples'!H28-'BAC for Overlaid Samples'!J28</f>
        <v>0.36654993101984523</v>
      </c>
      <c r="D28" s="43">
        <f>'BAC for Independent Groups'!E28-'BAC for Independent Groups'!G28</f>
        <v>-0.65497950983574782</v>
      </c>
      <c r="E28" s="45">
        <f>'BAC for Independent Groups'!F28-'BAC for Independent Groups'!H28</f>
        <v>0.30582334702480907</v>
      </c>
    </row>
    <row r="29" spans="1:5" x14ac:dyDescent="0.35">
      <c r="A29" s="52">
        <v>3</v>
      </c>
      <c r="B29" s="43">
        <f>'BAC for Overlaid Samples'!G29-'BAC for Overlaid Samples'!I29</f>
        <v>0.12612756022498126</v>
      </c>
      <c r="C29" s="32">
        <f>'BAC for Overlaid Samples'!H29-'BAC for Overlaid Samples'!J29</f>
        <v>0.49071420991191772</v>
      </c>
      <c r="D29" s="43">
        <f>'BAC for Independent Groups'!E29-'BAC for Independent Groups'!G29</f>
        <v>0.44175006234091363</v>
      </c>
      <c r="E29" s="45">
        <f>'BAC for Independent Groups'!F29-'BAC for Independent Groups'!H29</f>
        <v>-0.81537209291383794</v>
      </c>
    </row>
    <row r="30" spans="1:5" x14ac:dyDescent="0.35">
      <c r="A30" s="52">
        <v>3</v>
      </c>
      <c r="B30" s="43">
        <f>'BAC for Overlaid Samples'!G30-'BAC for Overlaid Samples'!I30</f>
        <v>-9.7368141780749373E-2</v>
      </c>
      <c r="C30" s="32">
        <f>'BAC for Overlaid Samples'!H30-'BAC for Overlaid Samples'!J30</f>
        <v>0.24907142099119164</v>
      </c>
      <c r="D30" s="43">
        <f>'BAC for Independent Groups'!E30-'BAC for Independent Groups'!G30</f>
        <v>-0.23953025533896977</v>
      </c>
      <c r="E30" s="45">
        <f>'BAC for Independent Groups'!F30-'BAC for Independent Groups'!H30</f>
        <v>-0.49355183235234668</v>
      </c>
    </row>
    <row r="31" spans="1:5" x14ac:dyDescent="0.35">
      <c r="A31" s="52">
        <v>3</v>
      </c>
      <c r="B31" s="43">
        <f>'BAC for Overlaid Samples'!G31-'BAC for Overlaid Samples'!I31</f>
        <v>-0.10978456966995655</v>
      </c>
      <c r="C31" s="32">
        <f>'BAC for Overlaid Samples'!H31-'BAC for Overlaid Samples'!J31</f>
        <v>0.44773426721850795</v>
      </c>
      <c r="D31" s="43">
        <f>'BAC for Independent Groups'!E31-'BAC for Independent Groups'!G31</f>
        <v>0.10910836026931392</v>
      </c>
      <c r="E31" s="45">
        <f>'BAC for Independent Groups'!F31-'BAC for Independent Groups'!H31</f>
        <v>-0.95510983763132806</v>
      </c>
    </row>
    <row r="32" spans="1:5" ht="13.15" thickBot="1" x14ac:dyDescent="0.4">
      <c r="A32" s="52">
        <v>3</v>
      </c>
      <c r="B32" s="43">
        <f>'BAC for Overlaid Samples'!G32-'BAC for Overlaid Samples'!I32</f>
        <v>-0.18428313700520038</v>
      </c>
      <c r="C32" s="32">
        <f>'BAC for Overlaid Samples'!H32-'BAC for Overlaid Samples'!J32</f>
        <v>0.67122996922423861</v>
      </c>
      <c r="D32" s="42">
        <f>'BAC for Independent Groups'!E32-'BAC for Independent Groups'!G32</f>
        <v>-5.4624754753199056E-2</v>
      </c>
      <c r="E32" s="49">
        <f>'BAC for Independent Groups'!F32-'BAC for Independent Groups'!H32</f>
        <v>-0.90664859956431965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Instructions</vt:lpstr>
      <vt:lpstr>BAC for Overlaid Samples</vt:lpstr>
      <vt:lpstr>BAC for Independent Groups</vt:lpstr>
      <vt:lpstr>Chart Data</vt:lpstr>
      <vt:lpstr>Overlaid Samples</vt:lpstr>
      <vt:lpstr>Overlaid Independent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2014-05-04T23:53:00Z</dcterms:created>
  <dcterms:modified xsi:type="dcterms:W3CDTF">2019-05-27T16:50:54Z</dcterms:modified>
</cp:coreProperties>
</file>