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jp/.bin/github/bluetooth-reebok-57e/documentation/"/>
    </mc:Choice>
  </mc:AlternateContent>
  <xr:revisionPtr revIDLastSave="0" documentId="13_ncr:1_{9641B31C-5056-C447-A7A4-F65974153186}" xr6:coauthVersionLast="47" xr6:coauthVersionMax="47" xr10:uidLastSave="{00000000-0000-0000-0000-000000000000}"/>
  <bookViews>
    <workbookView xWindow="12460" yWindow="500" windowWidth="22840" windowHeight="21900" activeTab="1" xr2:uid="{45F29AC9-28D1-A149-A3FF-7BC8DDFBBC4B}"/>
  </bookViews>
  <sheets>
    <sheet name="Approx" sheetId="3" r:id="rId1"/>
    <sheet name="P=f(D,C)" sheetId="4" r:id="rId2"/>
  </sheets>
  <definedNames>
    <definedName name="solver_adj" localSheetId="0" hidden="1">Approx!$G$3:$H$3</definedName>
    <definedName name="solver_adj" localSheetId="1" hidden="1">'P=f(D,C)'!$M$4:$M$9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itr" localSheetId="0" hidden="1">2147483647</definedName>
    <definedName name="solver_itr" localSheetId="1" hidden="1">2147483647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opt" localSheetId="0" hidden="1">Approx!$I$3</definedName>
    <definedName name="solver_opt" localSheetId="1" hidden="1">'P=f(D,C)'!$M$2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H7" i="3"/>
  <c r="I7" i="3" s="1"/>
  <c r="C23" i="3"/>
  <c r="H8" i="3"/>
  <c r="G7" i="3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F8" i="3"/>
  <c r="F9" i="3" s="1"/>
  <c r="C3" i="3"/>
  <c r="C14" i="3"/>
  <c r="C16" i="3" s="1"/>
  <c r="C20" i="3" s="1"/>
  <c r="C15" i="3"/>
  <c r="C17" i="3" s="1"/>
  <c r="C24" i="3" l="1"/>
  <c r="K5" i="4"/>
  <c r="K13" i="4"/>
  <c r="K17" i="4"/>
  <c r="K12" i="4"/>
  <c r="K8" i="4"/>
  <c r="K7" i="4"/>
  <c r="K4" i="4"/>
  <c r="K18" i="4"/>
  <c r="K16" i="4"/>
  <c r="K14" i="4"/>
  <c r="K11" i="4"/>
  <c r="K6" i="4"/>
  <c r="K19" i="4"/>
  <c r="K15" i="4"/>
  <c r="K10" i="4"/>
  <c r="K9" i="4"/>
  <c r="G9" i="3"/>
  <c r="H9" i="3" s="1"/>
  <c r="F10" i="3"/>
  <c r="G8" i="3"/>
  <c r="C19" i="3"/>
  <c r="C22" i="3" s="1"/>
  <c r="M2" i="4" l="1"/>
  <c r="G10" i="3"/>
  <c r="H10" i="3" s="1"/>
  <c r="F11" i="3"/>
  <c r="F12" i="3" l="1"/>
  <c r="G11" i="3"/>
  <c r="H11" i="3" s="1"/>
  <c r="F13" i="3" l="1"/>
  <c r="G12" i="3"/>
  <c r="H12" i="3" s="1"/>
  <c r="F14" i="3" l="1"/>
  <c r="G13" i="3"/>
  <c r="H13" i="3" s="1"/>
  <c r="G14" i="3" l="1"/>
  <c r="H14" i="3" s="1"/>
  <c r="F15" i="3"/>
  <c r="F16" i="3" l="1"/>
  <c r="G15" i="3"/>
  <c r="H15" i="3" s="1"/>
  <c r="F17" i="3" l="1"/>
  <c r="G16" i="3"/>
  <c r="H16" i="3" s="1"/>
  <c r="F18" i="3" l="1"/>
  <c r="G17" i="3"/>
  <c r="H17" i="3" s="1"/>
  <c r="G18" i="3" l="1"/>
  <c r="H18" i="3" s="1"/>
  <c r="F19" i="3"/>
  <c r="F20" i="3" l="1"/>
  <c r="G19" i="3"/>
  <c r="H19" i="3" s="1"/>
  <c r="F21" i="3" l="1"/>
  <c r="G20" i="3"/>
  <c r="H20" i="3" s="1"/>
  <c r="G21" i="3" l="1"/>
  <c r="H21" i="3" s="1"/>
  <c r="F22" i="3"/>
  <c r="G22" i="3" s="1"/>
  <c r="H22" i="3" s="1"/>
  <c r="I22" i="3" s="1"/>
  <c r="I3" i="3" l="1"/>
</calcChain>
</file>

<file path=xl/sharedStrings.xml><?xml version="1.0" encoding="utf-8"?>
<sst xmlns="http://schemas.openxmlformats.org/spreadsheetml/2006/main" count="58" uniqueCount="47">
  <si>
    <t>W</t>
  </si>
  <si>
    <t>N</t>
  </si>
  <si>
    <t>D</t>
  </si>
  <si>
    <t>m</t>
  </si>
  <si>
    <t>kg</t>
  </si>
  <si>
    <t>Power [W]</t>
  </si>
  <si>
    <t>RPM</t>
  </si>
  <si>
    <t>%</t>
  </si>
  <si>
    <t>P</t>
  </si>
  <si>
    <t>C</t>
  </si>
  <si>
    <t>velocity</t>
  </si>
  <si>
    <t>kph</t>
  </si>
  <si>
    <t>m/2</t>
  </si>
  <si>
    <t>rider weight</t>
  </si>
  <si>
    <t>bike weight</t>
  </si>
  <si>
    <t>rolling resistance</t>
  </si>
  <si>
    <t>frontal area</t>
  </si>
  <si>
    <t>grade</t>
  </si>
  <si>
    <t>degrees</t>
  </si>
  <si>
    <t>headwind</t>
  </si>
  <si>
    <t>m/s</t>
  </si>
  <si>
    <t>temperature</t>
  </si>
  <si>
    <t>elebation</t>
  </si>
  <si>
    <t>transv</t>
  </si>
  <si>
    <t>?</t>
  </si>
  <si>
    <t>density</t>
  </si>
  <si>
    <t>total weight</t>
  </si>
  <si>
    <t>air resiatance</t>
  </si>
  <si>
    <t>gravity + rolling resiatance</t>
  </si>
  <si>
    <t>terminal velociety</t>
  </si>
  <si>
    <t>rev effect</t>
  </si>
  <si>
    <t>power</t>
  </si>
  <si>
    <t>scaled power</t>
  </si>
  <si>
    <t>linear</t>
  </si>
  <si>
    <t>offset</t>
  </si>
  <si>
    <t>Cadence [RPM]</t>
  </si>
  <si>
    <t>Duty [%]</t>
  </si>
  <si>
    <t>SSD</t>
  </si>
  <si>
    <t>P'</t>
  </si>
  <si>
    <t>∆P</t>
  </si>
  <si>
    <t>DD</t>
  </si>
  <si>
    <t>CC</t>
  </si>
  <si>
    <t>CD</t>
  </si>
  <si>
    <t>full</t>
  </si>
  <si>
    <t>reduced</t>
  </si>
  <si>
    <t>hard encoded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</si>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</sst>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"/>
    <numFmt numFmtId="166" formatCode="0.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40926202123646"/>
          <c:y val="6.9861111111111124E-2"/>
          <c:w val="0.82459070368682386"/>
          <c:h val="0.75792468649752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'P=f(D,C)'!$C$3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42827210761199"/>
                  <c:y val="1.0578873022754927E-2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6350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'P=f(D,C)'!$C$4:$C$9</c:f>
              <c:numCache>
                <c:formatCode>General</c:formatCode>
                <c:ptCount val="6"/>
                <c:pt idx="0">
                  <c:v>13</c:v>
                </c:pt>
                <c:pt idx="1">
                  <c:v>21</c:v>
                </c:pt>
                <c:pt idx="2">
                  <c:v>30</c:v>
                </c:pt>
                <c:pt idx="3">
                  <c:v>36</c:v>
                </c:pt>
                <c:pt idx="4">
                  <c:v>43</c:v>
                </c:pt>
                <c:pt idx="5">
                  <c:v>50</c:v>
                </c:pt>
              </c:numCache>
            </c:numRef>
          </c:xVal>
          <c:yVal>
            <c:numRef>
              <c:f>'P=f(D,C)'!$B$4:$B$9</c:f>
              <c:numCache>
                <c:formatCode>General</c:formatCode>
                <c:ptCount val="6"/>
                <c:pt idx="0">
                  <c:v>60</c:v>
                </c:pt>
                <c:pt idx="1">
                  <c:v>100</c:v>
                </c:pt>
                <c:pt idx="2">
                  <c:v>150</c:v>
                </c:pt>
                <c:pt idx="3">
                  <c:v>190</c:v>
                </c:pt>
                <c:pt idx="4">
                  <c:v>240</c:v>
                </c:pt>
                <c:pt idx="5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9-3543-A816-3D2761082FA8}"/>
            </c:ext>
          </c:extLst>
        </c:ser>
        <c:ser>
          <c:idx val="1"/>
          <c:order val="1"/>
          <c:tx>
            <c:strRef>
              <c:f>'P=f(D,C)'!$D$3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090874942790351"/>
                  <c:y val="3.2376889833708622E-2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6350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'P=f(D,C)'!$D$4:$D$8</c:f>
              <c:numCache>
                <c:formatCode>General</c:formatCode>
                <c:ptCount val="5"/>
                <c:pt idx="0">
                  <c:v>10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36</c:v>
                </c:pt>
              </c:numCache>
            </c:numRef>
          </c:xVal>
          <c:yVal>
            <c:numRef>
              <c:f>'P=f(D,C)'!$B$4:$B$8</c:f>
              <c:numCache>
                <c:formatCode>General</c:formatCode>
                <c:ptCount val="5"/>
                <c:pt idx="0">
                  <c:v>60</c:v>
                </c:pt>
                <c:pt idx="1">
                  <c:v>100</c:v>
                </c:pt>
                <c:pt idx="2">
                  <c:v>150</c:v>
                </c:pt>
                <c:pt idx="3">
                  <c:v>190</c:v>
                </c:pt>
                <c:pt idx="4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59-3543-A816-3D2761082FA8}"/>
            </c:ext>
          </c:extLst>
        </c:ser>
        <c:ser>
          <c:idx val="2"/>
          <c:order val="2"/>
          <c:tx>
            <c:strRef>
              <c:f>'P=f(D,C)'!$E$3</c:f>
              <c:strCache>
                <c:ptCount val="1"/>
                <c:pt idx="0">
                  <c:v>120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493039845507927"/>
                  <c:y val="0.18257534859652313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6350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'P=f(D,C)'!$E$4:$E$8</c:f>
              <c:numCache>
                <c:formatCode>General</c:formatCode>
                <c:ptCount val="5"/>
                <c:pt idx="0">
                  <c:v>8</c:v>
                </c:pt>
                <c:pt idx="1">
                  <c:v>15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</c:numCache>
            </c:numRef>
          </c:xVal>
          <c:yVal>
            <c:numRef>
              <c:f>'P=f(D,C)'!$B$4:$B$8</c:f>
              <c:numCache>
                <c:formatCode>General</c:formatCode>
                <c:ptCount val="5"/>
                <c:pt idx="0">
                  <c:v>60</c:v>
                </c:pt>
                <c:pt idx="1">
                  <c:v>100</c:v>
                </c:pt>
                <c:pt idx="2">
                  <c:v>150</c:v>
                </c:pt>
                <c:pt idx="3">
                  <c:v>190</c:v>
                </c:pt>
                <c:pt idx="4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59-3543-A816-3D2761082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919935"/>
        <c:axId val="1420587856"/>
      </c:scatterChart>
      <c:valAx>
        <c:axId val="114891993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Duty Cycle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587856"/>
        <c:crosses val="autoZero"/>
        <c:crossBetween val="midCat"/>
      </c:valAx>
      <c:valAx>
        <c:axId val="142058785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19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510719593933103"/>
          <c:y val="0.45159732031719835"/>
          <c:w val="0.21619107222848677"/>
          <c:h val="0.35968280163913791"/>
        </c:manualLayout>
      </c:layout>
      <c:overlay val="0"/>
      <c:spPr>
        <a:solidFill>
          <a:schemeClr val="bg1"/>
        </a:solidFill>
        <a:ln w="6350"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'P=f(D,C)'!$J$2</c:f>
              <c:strCache>
                <c:ptCount val="1"/>
                <c:pt idx="0">
                  <c:v>P'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2222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630081300813007"/>
                  <c:y val="3.125E-2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6350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'P=f(D,C)'!$I$4:$I$19</c:f>
              <c:numCache>
                <c:formatCode>0</c:formatCode>
                <c:ptCount val="1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150</c:v>
                </c:pt>
                <c:pt idx="7">
                  <c:v>150</c:v>
                </c:pt>
                <c:pt idx="8">
                  <c:v>190</c:v>
                </c:pt>
                <c:pt idx="9">
                  <c:v>150</c:v>
                </c:pt>
                <c:pt idx="10">
                  <c:v>190</c:v>
                </c:pt>
                <c:pt idx="11">
                  <c:v>240</c:v>
                </c:pt>
                <c:pt idx="12">
                  <c:v>240</c:v>
                </c:pt>
                <c:pt idx="13">
                  <c:v>190</c:v>
                </c:pt>
                <c:pt idx="14">
                  <c:v>240</c:v>
                </c:pt>
                <c:pt idx="15">
                  <c:v>280</c:v>
                </c:pt>
              </c:numCache>
            </c:numRef>
          </c:xVal>
          <c:yVal>
            <c:numRef>
              <c:f>'P=f(D,C)'!$J$4:$J$19</c:f>
              <c:numCache>
                <c:formatCode>0.0</c:formatCode>
                <c:ptCount val="16"/>
                <c:pt idx="0">
                  <c:v>55.676719925089628</c:v>
                </c:pt>
                <c:pt idx="1">
                  <c:v>54.731853480377652</c:v>
                </c:pt>
                <c:pt idx="2">
                  <c:v>54.769613087593683</c:v>
                </c:pt>
                <c:pt idx="3">
                  <c:v>104.6113661383917</c:v>
                </c:pt>
                <c:pt idx="4">
                  <c:v>106.83428181914422</c:v>
                </c:pt>
                <c:pt idx="5">
                  <c:v>103.07657048556567</c:v>
                </c:pt>
                <c:pt idx="6">
                  <c:v>153.88179316329834</c:v>
                </c:pt>
                <c:pt idx="7">
                  <c:v>146.19891519745167</c:v>
                </c:pt>
                <c:pt idx="8">
                  <c:v>196.38084187143428</c:v>
                </c:pt>
                <c:pt idx="9">
                  <c:v>157.94612678456483</c:v>
                </c:pt>
                <c:pt idx="10">
                  <c:v>185.81024468224413</c:v>
                </c:pt>
                <c:pt idx="11">
                  <c:v>239.12658668605522</c:v>
                </c:pt>
                <c:pt idx="12">
                  <c:v>225.66827027352159</c:v>
                </c:pt>
                <c:pt idx="13">
                  <c:v>194.83420111700386</c:v>
                </c:pt>
                <c:pt idx="14">
                  <c:v>238.18208430610125</c:v>
                </c:pt>
                <c:pt idx="15">
                  <c:v>281.86574830680331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0-4D45-BB7A-0F3C2287ADE5}"/>
            </c:ext>
          </c:extLst>
        </c:ser>
        <c:ser>
          <c:idx val="1"/>
          <c:order val="1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-10</c:v>
              </c:pt>
              <c:pt idx="1">
                <c:v>400</c:v>
              </c:pt>
            </c:numLit>
          </c:xVal>
          <c:yVal>
            <c:numLit>
              <c:formatCode>General</c:formatCode>
              <c:ptCount val="2"/>
              <c:pt idx="0">
                <c:v>-10</c:v>
              </c:pt>
              <c:pt idx="1">
                <c:v>400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7E0-4D45-BB7A-0F3C2287A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88991"/>
        <c:axId val="353621919"/>
      </c:scatterChart>
      <c:valAx>
        <c:axId val="631888991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21919"/>
        <c:crosses val="autoZero"/>
        <c:crossBetween val="midCat"/>
      </c:valAx>
      <c:valAx>
        <c:axId val="353621919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8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357717</xdr:colOff>
      <xdr:row>20</xdr:row>
      <xdr:rowOff>69850</xdr:rowOff>
    </xdr:from>
    <xdr:to>
      <xdr:col>7</xdr:col>
      <xdr:colOff>381000</xdr:colOff>
      <xdr:row>37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A5512-3F80-7B9B-B048-DCA21F229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279400</xdr:colOff>
      <xdr:row>20</xdr:row>
      <xdr:rowOff>38100</xdr:rowOff>
    </xdr:from>
    <xdr:to>
      <xdr:col>14</xdr:col>
      <xdr:colOff>711200</xdr:colOff>
      <xdr:row>37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50D0BE-E21B-2F8B-EB47-029C6C73C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61ECA-AB94-3542-ABE0-042DB9077427}">
  <dimension ref="B2:J33"/>
  <sheetViews>
    <sheetView workbookViewId="0">
      <selection activeCell="J13" sqref="J13"/>
    </sheetView>
  </sheetViews>
  <sheetFormatPr baseColWidth="10" defaultRowHeight="16" x14ac:dyDescent="0.2"/>
  <cols>
    <col min="2" max="2" width="10.83203125" style="4"/>
  </cols>
  <sheetData>
    <row r="2" spans="2:10" x14ac:dyDescent="0.2">
      <c r="B2" s="4" t="s">
        <v>10</v>
      </c>
      <c r="C2">
        <v>30</v>
      </c>
      <c r="D2" t="s">
        <v>11</v>
      </c>
      <c r="F2" t="s">
        <v>32</v>
      </c>
      <c r="G2" s="1" t="s">
        <v>33</v>
      </c>
      <c r="H2" s="1" t="s">
        <v>34</v>
      </c>
      <c r="I2" s="1" t="s">
        <v>37</v>
      </c>
    </row>
    <row r="3" spans="2:10" x14ac:dyDescent="0.2">
      <c r="C3">
        <f>1000*C2/(60*60)</f>
        <v>8.3333333333333339</v>
      </c>
      <c r="D3" t="s">
        <v>12</v>
      </c>
      <c r="G3">
        <v>0.22251171778259299</v>
      </c>
      <c r="H3">
        <v>57.031472231048703</v>
      </c>
      <c r="I3" s="2">
        <f>SUMSQ(I6:I22)</f>
        <v>6.4926822481930472E-8</v>
      </c>
    </row>
    <row r="4" spans="2:10" x14ac:dyDescent="0.2">
      <c r="B4" s="4" t="s">
        <v>13</v>
      </c>
      <c r="C4">
        <v>72</v>
      </c>
      <c r="D4" t="s">
        <v>4</v>
      </c>
    </row>
    <row r="5" spans="2:10" x14ac:dyDescent="0.2">
      <c r="B5" s="4" t="s">
        <v>14</v>
      </c>
      <c r="C5">
        <v>12</v>
      </c>
      <c r="D5" t="s">
        <v>4</v>
      </c>
      <c r="F5" s="1" t="s">
        <v>46</v>
      </c>
      <c r="G5" s="1" t="s">
        <v>8</v>
      </c>
      <c r="H5" s="1" t="s">
        <v>38</v>
      </c>
      <c r="I5" s="1" t="s">
        <v>39</v>
      </c>
    </row>
    <row r="6" spans="2:10" x14ac:dyDescent="0.2">
      <c r="B6" s="4" t="s">
        <v>15</v>
      </c>
      <c r="C6">
        <v>4.0000000000000001E-3</v>
      </c>
      <c r="G6" s="3"/>
      <c r="H6" s="3"/>
      <c r="I6" s="3"/>
    </row>
    <row r="7" spans="2:10" x14ac:dyDescent="0.2">
      <c r="B7" s="4" t="s">
        <v>16</v>
      </c>
      <c r="C7">
        <v>0.44500000000000001</v>
      </c>
      <c r="F7">
        <v>30</v>
      </c>
      <c r="G7" s="3">
        <f>(0.2777777)*F7*(3.2928 +  0.26959*((0.277777)*F7)^2)/0.95</f>
        <v>193.10716467882961</v>
      </c>
      <c r="H7" s="3">
        <f t="shared" ref="H7:H22" si="0">$G$3*G7+$H$3</f>
        <v>100.00007915986114</v>
      </c>
      <c r="I7" s="3">
        <f>H7-J7</f>
        <v>7.9159861144262322E-5</v>
      </c>
      <c r="J7">
        <v>100</v>
      </c>
    </row>
    <row r="8" spans="2:10" x14ac:dyDescent="0.2">
      <c r="B8" s="4" t="s">
        <v>17</v>
      </c>
      <c r="C8">
        <v>0</v>
      </c>
      <c r="D8" t="s">
        <v>18</v>
      </c>
      <c r="F8">
        <f>F7+1</f>
        <v>31</v>
      </c>
      <c r="G8" s="3">
        <f t="shared" ref="G8:G22" si="1">(0.2777777)*F8*(3.2928 +  0.26959*((0.277777)*F8)^2)/0.95</f>
        <v>211.04575985686526</v>
      </c>
      <c r="H8" s="3">
        <f t="shared" si="0"/>
        <v>103.9916267875324</v>
      </c>
      <c r="I8" s="3"/>
    </row>
    <row r="9" spans="2:10" x14ac:dyDescent="0.2">
      <c r="B9" s="4" t="s">
        <v>19</v>
      </c>
      <c r="C9">
        <v>0</v>
      </c>
      <c r="D9" t="s">
        <v>20</v>
      </c>
      <c r="F9">
        <f t="shared" ref="F9:F15" si="2">F8+1</f>
        <v>32</v>
      </c>
      <c r="G9" s="3">
        <f t="shared" si="1"/>
        <v>230.11566877477708</v>
      </c>
      <c r="H9" s="3">
        <f t="shared" si="0"/>
        <v>108.23490497881454</v>
      </c>
      <c r="I9" s="3"/>
    </row>
    <row r="10" spans="2:10" x14ac:dyDescent="0.2">
      <c r="B10" s="4" t="s">
        <v>21</v>
      </c>
      <c r="C10">
        <v>15</v>
      </c>
      <c r="D10" t="s">
        <v>9</v>
      </c>
      <c r="F10">
        <f t="shared" si="2"/>
        <v>33</v>
      </c>
      <c r="G10" s="3">
        <f t="shared" si="1"/>
        <v>250.35338542417404</v>
      </c>
      <c r="H10" s="3">
        <f t="shared" si="0"/>
        <v>112.73803407446925</v>
      </c>
      <c r="I10" s="3"/>
    </row>
    <row r="11" spans="2:10" x14ac:dyDescent="0.2">
      <c r="B11" s="4" t="s">
        <v>22</v>
      </c>
      <c r="C11">
        <v>100</v>
      </c>
      <c r="D11" t="s">
        <v>3</v>
      </c>
      <c r="F11">
        <f t="shared" si="2"/>
        <v>34</v>
      </c>
      <c r="G11" s="3">
        <f t="shared" si="1"/>
        <v>271.79540379666503</v>
      </c>
      <c r="H11" s="3">
        <f t="shared" si="0"/>
        <v>117.50913441525813</v>
      </c>
      <c r="I11" s="3"/>
    </row>
    <row r="12" spans="2:10" x14ac:dyDescent="0.2">
      <c r="B12" s="4" t="s">
        <v>23</v>
      </c>
      <c r="C12">
        <v>0.95</v>
      </c>
      <c r="D12" t="s">
        <v>24</v>
      </c>
      <c r="F12">
        <f t="shared" si="2"/>
        <v>35</v>
      </c>
      <c r="G12" s="3">
        <f t="shared" si="1"/>
        <v>294.4782178838588</v>
      </c>
      <c r="H12" s="3">
        <f t="shared" si="0"/>
        <v>122.55632634194282</v>
      </c>
      <c r="I12" s="3"/>
    </row>
    <row r="13" spans="2:10" x14ac:dyDescent="0.2">
      <c r="F13">
        <f t="shared" si="2"/>
        <v>36</v>
      </c>
      <c r="G13" s="3">
        <f t="shared" si="1"/>
        <v>318.43832167736457</v>
      </c>
      <c r="H13" s="3">
        <f t="shared" si="0"/>
        <v>127.887730195285</v>
      </c>
      <c r="I13" s="3"/>
    </row>
    <row r="14" spans="2:10" x14ac:dyDescent="0.2">
      <c r="B14" s="4" t="s">
        <v>25</v>
      </c>
      <c r="C14">
        <f>(1.293 - 0.00426 * C10) * EXP(-C11/7000)</f>
        <v>1.2116662518353403</v>
      </c>
      <c r="F14">
        <f t="shared" si="2"/>
        <v>37</v>
      </c>
      <c r="G14" s="3">
        <f t="shared" si="1"/>
        <v>343.71220916879099</v>
      </c>
      <c r="H14" s="3">
        <f t="shared" si="0"/>
        <v>133.5114663160463</v>
      </c>
      <c r="I14" s="3"/>
    </row>
    <row r="15" spans="2:10" x14ac:dyDescent="0.2">
      <c r="B15" s="4" t="s">
        <v>26</v>
      </c>
      <c r="C15">
        <f>9.8 * (C4+C5)</f>
        <v>823.2</v>
      </c>
      <c r="D15" t="s">
        <v>1</v>
      </c>
      <c r="F15">
        <f t="shared" si="2"/>
        <v>38</v>
      </c>
      <c r="G15" s="3">
        <f t="shared" si="1"/>
        <v>370.33637434974708</v>
      </c>
      <c r="H15" s="3">
        <f t="shared" si="0"/>
        <v>139.43565504498832</v>
      </c>
      <c r="I15" s="3"/>
    </row>
    <row r="16" spans="2:10" x14ac:dyDescent="0.2">
      <c r="B16" s="4" t="s">
        <v>27</v>
      </c>
      <c r="C16">
        <f>0.5*C7*C14</f>
        <v>0.2695957410333632</v>
      </c>
      <c r="F16">
        <f t="shared" ref="F16:F21" si="3">F15+1</f>
        <v>39</v>
      </c>
      <c r="G16" s="3">
        <f t="shared" si="1"/>
        <v>398.34731121184166</v>
      </c>
      <c r="H16" s="3">
        <f t="shared" si="0"/>
        <v>145.66841672287276</v>
      </c>
      <c r="I16" s="3"/>
    </row>
    <row r="17" spans="2:10" x14ac:dyDescent="0.2">
      <c r="B17" s="4" t="s">
        <v>28</v>
      </c>
      <c r="C17">
        <f>C15*(C8+C6)</f>
        <v>3.2928000000000002</v>
      </c>
      <c r="F17">
        <f t="shared" si="3"/>
        <v>40</v>
      </c>
      <c r="G17" s="3">
        <f t="shared" si="1"/>
        <v>427.78151374668391</v>
      </c>
      <c r="H17" s="3">
        <f t="shared" si="0"/>
        <v>152.21787169046127</v>
      </c>
      <c r="I17" s="3"/>
    </row>
    <row r="18" spans="2:10" x14ac:dyDescent="0.2">
      <c r="F18">
        <f t="shared" si="3"/>
        <v>41</v>
      </c>
      <c r="G18" s="3">
        <f t="shared" si="1"/>
        <v>458.6754759458824</v>
      </c>
      <c r="H18" s="3">
        <f t="shared" si="0"/>
        <v>159.0921402885154</v>
      </c>
      <c r="I18" s="3"/>
    </row>
    <row r="19" spans="2:10" x14ac:dyDescent="0.2">
      <c r="B19" s="4" t="s">
        <v>29</v>
      </c>
      <c r="C19">
        <f>C3+C9</f>
        <v>8.3333333333333339</v>
      </c>
      <c r="F19">
        <f t="shared" si="3"/>
        <v>42</v>
      </c>
      <c r="G19" s="3">
        <f t="shared" si="1"/>
        <v>491.06569180104628</v>
      </c>
      <c r="H19" s="3">
        <f t="shared" si="0"/>
        <v>166.29934285779689</v>
      </c>
      <c r="I19" s="3"/>
    </row>
    <row r="20" spans="2:10" x14ac:dyDescent="0.2">
      <c r="B20" s="4" t="s">
        <v>30</v>
      </c>
      <c r="C20">
        <f>C16</f>
        <v>0.2695957410333632</v>
      </c>
      <c r="F20">
        <f t="shared" si="3"/>
        <v>43</v>
      </c>
      <c r="G20" s="3">
        <f t="shared" si="1"/>
        <v>524.98865530378418</v>
      </c>
      <c r="H20" s="3">
        <f t="shared" si="0"/>
        <v>173.84759973906731</v>
      </c>
      <c r="I20" s="3"/>
    </row>
    <row r="21" spans="2:10" x14ac:dyDescent="0.2">
      <c r="F21">
        <f t="shared" si="3"/>
        <v>44</v>
      </c>
      <c r="G21" s="3">
        <f t="shared" si="1"/>
        <v>560.48086044570516</v>
      </c>
      <c r="H21" s="3">
        <f t="shared" si="0"/>
        <v>181.74503127308833</v>
      </c>
      <c r="I21" s="3"/>
    </row>
    <row r="22" spans="2:10" x14ac:dyDescent="0.2">
      <c r="B22" s="4" t="s">
        <v>31</v>
      </c>
      <c r="C22">
        <f>(C3*C17 +  C20*C3*C19^2)/C12</f>
        <v>193.11163561973885</v>
      </c>
      <c r="D22" t="s">
        <v>43</v>
      </c>
      <c r="F22">
        <f t="shared" ref="F22" si="4">F21+1</f>
        <v>45</v>
      </c>
      <c r="G22" s="3">
        <f t="shared" si="1"/>
        <v>597.57880121841845</v>
      </c>
      <c r="H22" s="3">
        <f t="shared" si="0"/>
        <v>189.99975780062167</v>
      </c>
      <c r="I22" s="3">
        <f>H22-J22</f>
        <v>-2.4219937833436234E-4</v>
      </c>
      <c r="J22">
        <v>190</v>
      </c>
    </row>
    <row r="23" spans="2:10" x14ac:dyDescent="0.2">
      <c r="C23">
        <f>C3*(C17 +  C20*C19^2)/C12</f>
        <v>193.11163561973885</v>
      </c>
      <c r="D23" t="s">
        <v>44</v>
      </c>
    </row>
    <row r="24" spans="2:10" x14ac:dyDescent="0.2">
      <c r="C24">
        <f>C3*(3.2928 +  0.26959*C3^2)/0.95</f>
        <v>193.1081384015595</v>
      </c>
      <c r="D24" t="s">
        <v>45</v>
      </c>
    </row>
    <row r="33" spans="8:8" x14ac:dyDescent="0.2">
      <c r="H3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82E21-77AD-8A42-BFD5-9AC8EB634C96}">
  <dimension ref="B2:M40"/>
  <sheetViews>
    <sheetView tabSelected="1" zoomScaleNormal="100" workbookViewId="0">
      <selection activeCell="M13" sqref="M13"/>
    </sheetView>
  </sheetViews>
  <sheetFormatPr baseColWidth="10" defaultRowHeight="16" x14ac:dyDescent="0.2"/>
  <cols>
    <col min="1" max="12" width="6.6640625" customWidth="1"/>
  </cols>
  <sheetData>
    <row r="2" spans="2:13" x14ac:dyDescent="0.2">
      <c r="B2" s="4" t="s">
        <v>36</v>
      </c>
      <c r="C2" s="10" t="s">
        <v>35</v>
      </c>
      <c r="D2" s="10"/>
      <c r="E2" s="10"/>
      <c r="G2" s="1" t="s">
        <v>2</v>
      </c>
      <c r="H2" s="1" t="s">
        <v>9</v>
      </c>
      <c r="I2" s="1" t="s">
        <v>8</v>
      </c>
      <c r="J2" s="5" t="s">
        <v>38</v>
      </c>
      <c r="K2" s="1" t="s">
        <v>39</v>
      </c>
      <c r="L2" s="4" t="s">
        <v>37</v>
      </c>
      <c r="M2" s="2">
        <f>SUMSQ(K4:K19)</f>
        <v>538.48180696023189</v>
      </c>
    </row>
    <row r="3" spans="2:13" x14ac:dyDescent="0.2">
      <c r="B3" s="4" t="s">
        <v>5</v>
      </c>
      <c r="C3" s="1">
        <v>80</v>
      </c>
      <c r="D3" s="1">
        <v>100</v>
      </c>
      <c r="E3" s="1">
        <v>120</v>
      </c>
      <c r="G3" s="1" t="s">
        <v>7</v>
      </c>
      <c r="H3" s="1" t="s">
        <v>6</v>
      </c>
      <c r="I3" s="1" t="s">
        <v>0</v>
      </c>
      <c r="J3" s="5" t="s">
        <v>0</v>
      </c>
      <c r="K3" s="1" t="s">
        <v>0</v>
      </c>
    </row>
    <row r="4" spans="2:13" x14ac:dyDescent="0.2">
      <c r="B4" s="1">
        <v>60</v>
      </c>
      <c r="C4">
        <v>13</v>
      </c>
      <c r="D4">
        <v>10</v>
      </c>
      <c r="E4">
        <v>8</v>
      </c>
      <c r="G4" s="4">
        <v>8</v>
      </c>
      <c r="H4" s="4">
        <v>120</v>
      </c>
      <c r="I4" s="9">
        <v>60</v>
      </c>
      <c r="J4" s="8">
        <f t="shared" ref="J4:J19" si="0">G4*G4*$M$4+G4*$M$7+H4*$M$8+H4*H4*$M$5+H4*G4*$M$6+$M$9</f>
        <v>55.676719925089628</v>
      </c>
      <c r="K4" s="2">
        <f>J4-I4</f>
        <v>-4.3232800749103717</v>
      </c>
      <c r="L4" s="8" t="s">
        <v>40</v>
      </c>
      <c r="M4" s="6">
        <v>3.4263348122919425E-3</v>
      </c>
    </row>
    <row r="5" spans="2:13" x14ac:dyDescent="0.2">
      <c r="B5" s="1">
        <v>100</v>
      </c>
      <c r="C5">
        <v>21</v>
      </c>
      <c r="D5">
        <v>18</v>
      </c>
      <c r="E5">
        <v>15</v>
      </c>
      <c r="G5" s="4">
        <v>10</v>
      </c>
      <c r="H5" s="4">
        <v>100</v>
      </c>
      <c r="I5" s="9">
        <v>60</v>
      </c>
      <c r="J5" s="8">
        <f t="shared" si="0"/>
        <v>54.731853480377652</v>
      </c>
      <c r="K5" s="2">
        <f t="shared" ref="K5:K19" si="1">J5-I5</f>
        <v>-5.2681465196223485</v>
      </c>
      <c r="L5" s="8" t="s">
        <v>41</v>
      </c>
      <c r="M5" s="6">
        <v>-3.8404372276423849E-3</v>
      </c>
    </row>
    <row r="6" spans="2:13" x14ac:dyDescent="0.2">
      <c r="B6" s="1">
        <v>150</v>
      </c>
      <c r="C6">
        <v>30</v>
      </c>
      <c r="D6">
        <v>24</v>
      </c>
      <c r="E6">
        <v>22</v>
      </c>
      <c r="G6" s="4">
        <v>13</v>
      </c>
      <c r="H6" s="4">
        <v>80</v>
      </c>
      <c r="I6" s="9">
        <v>60</v>
      </c>
      <c r="J6" s="8">
        <f t="shared" si="0"/>
        <v>54.769613087593683</v>
      </c>
      <c r="K6" s="2">
        <f t="shared" si="1"/>
        <v>-5.2303869124063169</v>
      </c>
      <c r="L6" s="8" t="s">
        <v>42</v>
      </c>
      <c r="M6" s="6">
        <v>2.4749593823653725E-2</v>
      </c>
    </row>
    <row r="7" spans="2:13" x14ac:dyDescent="0.2">
      <c r="B7" s="1">
        <v>190</v>
      </c>
      <c r="C7">
        <v>36</v>
      </c>
      <c r="D7">
        <v>30</v>
      </c>
      <c r="E7">
        <v>28</v>
      </c>
      <c r="G7" s="4">
        <v>15</v>
      </c>
      <c r="H7" s="4">
        <v>120</v>
      </c>
      <c r="I7" s="9">
        <v>100</v>
      </c>
      <c r="J7" s="8">
        <f t="shared" si="0"/>
        <v>104.6113661383917</v>
      </c>
      <c r="K7" s="2">
        <f t="shared" si="1"/>
        <v>4.611366138391702</v>
      </c>
      <c r="L7" s="8" t="s">
        <v>2</v>
      </c>
      <c r="M7" s="6">
        <v>3.9419067852362741</v>
      </c>
    </row>
    <row r="8" spans="2:13" x14ac:dyDescent="0.2">
      <c r="B8" s="1">
        <v>240</v>
      </c>
      <c r="C8">
        <v>43</v>
      </c>
      <c r="D8">
        <v>36</v>
      </c>
      <c r="E8">
        <v>34</v>
      </c>
      <c r="G8" s="4">
        <v>18</v>
      </c>
      <c r="H8" s="4">
        <v>100</v>
      </c>
      <c r="I8" s="9">
        <v>100</v>
      </c>
      <c r="J8" s="8">
        <f t="shared" si="0"/>
        <v>106.83428181914422</v>
      </c>
      <c r="K8" s="2">
        <f t="shared" si="1"/>
        <v>6.8342818191442234</v>
      </c>
      <c r="L8" s="8" t="s">
        <v>9</v>
      </c>
      <c r="M8" s="6">
        <v>1.3419967811499847</v>
      </c>
    </row>
    <row r="9" spans="2:13" x14ac:dyDescent="0.2">
      <c r="B9" s="1">
        <v>280</v>
      </c>
      <c r="C9">
        <v>50</v>
      </c>
      <c r="D9" s="4"/>
      <c r="E9" s="4"/>
      <c r="G9" s="4">
        <v>21</v>
      </c>
      <c r="H9" s="4">
        <v>80</v>
      </c>
      <c r="I9" s="9">
        <v>100</v>
      </c>
      <c r="J9" s="8">
        <f t="shared" si="0"/>
        <v>103.07657048556567</v>
      </c>
      <c r="K9" s="2">
        <f t="shared" si="1"/>
        <v>3.0765704855656679</v>
      </c>
      <c r="L9" s="8" t="s">
        <v>34</v>
      </c>
      <c r="M9" s="7">
        <v>-105.57474751544262</v>
      </c>
    </row>
    <row r="10" spans="2:13" x14ac:dyDescent="0.2">
      <c r="B10" s="1"/>
      <c r="D10" s="4"/>
      <c r="E10" s="4"/>
      <c r="G10" s="4">
        <v>22</v>
      </c>
      <c r="H10" s="4">
        <v>120</v>
      </c>
      <c r="I10" s="9">
        <v>150</v>
      </c>
      <c r="J10" s="8">
        <f t="shared" si="0"/>
        <v>153.88179316329834</v>
      </c>
      <c r="K10" s="2">
        <f t="shared" si="1"/>
        <v>3.8817931632983402</v>
      </c>
    </row>
    <row r="11" spans="2:13" x14ac:dyDescent="0.2">
      <c r="B11" s="1"/>
      <c r="D11" s="4"/>
      <c r="E11" s="4"/>
      <c r="G11" s="4">
        <v>24</v>
      </c>
      <c r="H11" s="4">
        <v>100</v>
      </c>
      <c r="I11" s="9">
        <v>150</v>
      </c>
      <c r="J11" s="8">
        <f t="shared" si="0"/>
        <v>146.19891519745167</v>
      </c>
      <c r="K11" s="2">
        <f t="shared" si="1"/>
        <v>-3.8010848025483313</v>
      </c>
    </row>
    <row r="12" spans="2:13" x14ac:dyDescent="0.2">
      <c r="B12" s="1"/>
      <c r="D12" s="4"/>
      <c r="E12" s="4"/>
      <c r="G12" s="4">
        <v>28</v>
      </c>
      <c r="H12" s="4">
        <v>120</v>
      </c>
      <c r="I12" s="9">
        <v>190</v>
      </c>
      <c r="J12" s="8">
        <f t="shared" si="0"/>
        <v>196.38084187143428</v>
      </c>
      <c r="K12" s="2">
        <f t="shared" si="1"/>
        <v>6.3808418714342849</v>
      </c>
    </row>
    <row r="13" spans="2:13" x14ac:dyDescent="0.2">
      <c r="B13" s="1"/>
      <c r="D13" s="4"/>
      <c r="E13" s="4"/>
      <c r="G13" s="4">
        <v>30</v>
      </c>
      <c r="H13" s="4">
        <v>80</v>
      </c>
      <c r="I13" s="9">
        <v>150</v>
      </c>
      <c r="J13" s="8">
        <f t="shared" si="0"/>
        <v>157.94612678456483</v>
      </c>
      <c r="K13" s="2">
        <f t="shared" si="1"/>
        <v>7.9461267845648251</v>
      </c>
    </row>
    <row r="14" spans="2:13" x14ac:dyDescent="0.2">
      <c r="B14" s="1"/>
      <c r="D14" s="4"/>
      <c r="E14" s="4"/>
      <c r="G14" s="4">
        <v>30</v>
      </c>
      <c r="H14" s="4">
        <v>100</v>
      </c>
      <c r="I14" s="9">
        <v>190</v>
      </c>
      <c r="J14" s="8">
        <f t="shared" si="0"/>
        <v>185.81024468224413</v>
      </c>
      <c r="K14" s="2">
        <f t="shared" si="1"/>
        <v>-4.1897553177558677</v>
      </c>
    </row>
    <row r="15" spans="2:13" x14ac:dyDescent="0.2">
      <c r="B15" s="1"/>
      <c r="D15" s="4"/>
      <c r="E15" s="4"/>
      <c r="G15" s="4">
        <v>34</v>
      </c>
      <c r="H15" s="4">
        <v>120</v>
      </c>
      <c r="I15" s="9">
        <v>240</v>
      </c>
      <c r="J15" s="8">
        <f t="shared" si="0"/>
        <v>239.12658668605522</v>
      </c>
      <c r="K15" s="2">
        <f t="shared" si="1"/>
        <v>-0.87341331394478061</v>
      </c>
    </row>
    <row r="16" spans="2:13" x14ac:dyDescent="0.2">
      <c r="B16" s="1"/>
      <c r="D16" s="4"/>
      <c r="E16" s="4"/>
      <c r="G16" s="4">
        <v>36</v>
      </c>
      <c r="H16" s="4">
        <v>100</v>
      </c>
      <c r="I16" s="9">
        <v>240</v>
      </c>
      <c r="J16" s="8">
        <f t="shared" si="0"/>
        <v>225.66827027352159</v>
      </c>
      <c r="K16" s="2">
        <f t="shared" si="1"/>
        <v>-14.331729726478414</v>
      </c>
    </row>
    <row r="17" spans="2:12" x14ac:dyDescent="0.2">
      <c r="B17" s="1"/>
      <c r="D17" s="4"/>
      <c r="E17" s="4"/>
      <c r="G17" s="4">
        <v>36</v>
      </c>
      <c r="H17" s="4">
        <v>80</v>
      </c>
      <c r="I17" s="9">
        <v>190</v>
      </c>
      <c r="J17" s="8">
        <f t="shared" si="0"/>
        <v>194.83420111700386</v>
      </c>
      <c r="K17" s="2">
        <f t="shared" si="1"/>
        <v>4.8342011170038575</v>
      </c>
    </row>
    <row r="18" spans="2:12" x14ac:dyDescent="0.2">
      <c r="B18" s="1"/>
      <c r="D18" s="4"/>
      <c r="E18" s="4"/>
      <c r="G18" s="4">
        <v>43</v>
      </c>
      <c r="H18" s="4">
        <v>80</v>
      </c>
      <c r="I18" s="9">
        <v>240</v>
      </c>
      <c r="J18" s="8">
        <f t="shared" si="0"/>
        <v>238.18208430610125</v>
      </c>
      <c r="K18" s="2">
        <f t="shared" si="1"/>
        <v>-1.8179156938987546</v>
      </c>
    </row>
    <row r="19" spans="2:12" x14ac:dyDescent="0.2">
      <c r="G19" s="4">
        <v>50</v>
      </c>
      <c r="H19" s="4">
        <v>80</v>
      </c>
      <c r="I19" s="9">
        <v>280</v>
      </c>
      <c r="J19" s="8">
        <f t="shared" si="0"/>
        <v>281.86574830680331</v>
      </c>
      <c r="K19" s="2">
        <f t="shared" si="1"/>
        <v>1.8657483068033116</v>
      </c>
      <c r="L19" s="2"/>
    </row>
    <row r="39" spans="2:5" x14ac:dyDescent="0.2">
      <c r="B39" s="1"/>
    </row>
    <row r="40" spans="2:5" x14ac:dyDescent="0.2">
      <c r="B40" s="1"/>
      <c r="D40" s="4"/>
      <c r="E40" s="4"/>
    </row>
  </sheetData>
  <mergeCells count="1">
    <mergeCell ref="C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Approx</vt:lpstr>
      <vt:lpstr>P=f(D,C)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Parkinson</dc:creator>
  <cp:lastModifiedBy>Matt Parkinson</cp:lastModifiedBy>
  <dcterms:created xsi:type="dcterms:W3CDTF">2023-10-21T23:20:01Z</dcterms:created>
  <dcterms:modified xsi:type="dcterms:W3CDTF">2023-11-24T19:42:41Z</dcterms:modified>
</cp:coreProperties>
</file>