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https://kyungshino365.sharepoint.com/sites/gabirel/Shared Documents/Workstation/사업계획/2026년/"/>
    </mc:Choice>
  </mc:AlternateContent>
  <x:bookViews>
    <x:workbookView xWindow="-120" yWindow="-120" windowWidth="29040" windowHeight="15720" tabRatio="911" activeTab="1" xr2:uid="{F47E7719-E0F0-45F1-A02C-432F2AF31F06}"/>
  </x:bookViews>
  <x:sheets>
    <x:sheet name="Exchange Rate" sheetId="2" r:id="rId1"/>
    <x:sheet name="Summary" sheetId="29" r:id="rId2"/>
    <x:sheet name="26 Detail" sheetId="3" r:id="rId3"/>
    <x:sheet name="1. Sales" sheetId="31" r:id="rId4"/>
    <x:sheet name="2. Service" sheetId="25" r:id="rId5"/>
    <x:sheet name="3. HR" sheetId="17" r:id="rId6"/>
    <x:sheet name="4. Salary" sheetId="10" r:id="rId7"/>
    <x:sheet name="5. Social Benefit" sheetId="16" r:id="rId8"/>
    <x:sheet name="6. Social Benefit-2" sheetId="23" r:id="rId9"/>
    <x:sheet name="7. Commucation " sheetId="15" r:id="rId10"/>
    <x:sheet name="8. Export, Import1" sheetId="19" r:id="rId11"/>
    <x:sheet name="9.Transportation" sheetId="21" r:id="rId12"/>
    <x:sheet name="10. Warehouse" sheetId="7" r:id="rId13"/>
    <x:sheet name="11. Trip" sheetId="27" r:id="rId14"/>
    <x:sheet name="12. Loan" sheetId="6" r:id="rId15"/>
    <x:sheet name="13. Depreciation" sheetId="33" r:id="rId16"/>
    <x:sheet name="14. Training" sheetId="13" r:id="rId17"/>
    <x:sheet name="15. Test, Royalty " sheetId="28" r:id="rId18"/>
    <x:sheet name="16. non operational" sheetId="32" r:id="rId19"/>
  </x:sheets>
  <x:definedNames>
    <x:definedName name="_xlnm._FilterDatabase" localSheetId="3" hidden="1">'1. Sales'!$A$1:$Y$77</x:definedName>
    <x:definedName name="_xlnm._FilterDatabase" localSheetId="13" hidden="1">'11. Trip'!$A$40:$U$92</x:definedName>
    <x:definedName name="_xlnm._FilterDatabase" localSheetId="6" hidden="1">'4. Salary'!$B$9:$AA$31</x:definedName>
    <x:definedName name="_xlnm._FilterDatabase" localSheetId="8" hidden="1">'6. Social Benefit-2'!$C$47:$K$70</x:definedName>
    <x:definedName name="_xlnm._FilterDatabase" hidden="1">#REF!</x:definedName>
    <x:definedName name="_xlnm.Criteria">#REF!</x:definedName>
    <x:definedName name="_xlnm.Database">#REF!</x:definedName>
    <x:definedName name="_xlnm.Extract" localSheetId="3">#REF!</x:definedName>
    <x:definedName name="_xlnm.Extract">#REF!</x:definedName>
    <x:definedName name="_xlnm.Print_Area" localSheetId="5">'3. HR'!$A$1:$P$45</x:definedName>
    <x:definedName name="_xlnm.Print_Area">#REF!</x:definedName>
    <x:definedName name="_xlnm.Print_Titles">#REF!,#REF!</x:definedName>
    <x:definedName name="_xlnm.Recorder" localSheetId="3">#REF!</x:definedName>
    <x:definedName name="_xlnm.Recorder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U307" i="31" l="1"/>
  <c r="T307" i="31"/>
  <c r="S307" i="31"/>
  <c r="R307" i="31"/>
  <c r="Q307" i="31"/>
  <c r="P307" i="31"/>
  <c r="O307" i="31"/>
  <c r="N307" i="31"/>
  <c r="M307" i="31"/>
  <c r="L307" i="31"/>
  <c r="K307" i="31"/>
  <c r="J307" i="31"/>
  <c r="U306" i="31"/>
  <c r="T306" i="31"/>
  <c r="S306" i="31"/>
  <c r="R306" i="31"/>
  <c r="Q306" i="31"/>
  <c r="P306" i="31"/>
  <c r="O306" i="31"/>
  <c r="N306" i="31"/>
  <c r="M306" i="31"/>
  <c r="L306" i="31"/>
  <c r="K306" i="31"/>
  <c r="J306" i="31"/>
  <c r="U305" i="31"/>
  <c r="T305" i="31"/>
  <c r="S305" i="31"/>
  <c r="R305" i="31"/>
  <c r="Q305" i="31"/>
  <c r="P305" i="31"/>
  <c r="O305" i="31"/>
  <c r="N305" i="31"/>
  <c r="M305" i="31"/>
  <c r="L305" i="31"/>
  <c r="K305" i="31"/>
  <c r="J305" i="31"/>
  <c r="U304" i="31"/>
  <c r="T304" i="31"/>
  <c r="S304" i="31"/>
  <c r="R304" i="31"/>
  <c r="Q304" i="31"/>
  <c r="P304" i="31"/>
  <c r="O304" i="31"/>
  <c r="N304" i="31"/>
  <c r="M304" i="31"/>
  <c r="L304" i="31"/>
  <c r="K304" i="31"/>
  <c r="J304" i="31"/>
  <c r="U303" i="31"/>
  <c r="T303" i="31"/>
  <c r="S303" i="31"/>
  <c r="R303" i="31"/>
  <c r="Q303" i="31"/>
  <c r="P303" i="31"/>
  <c r="O303" i="31"/>
  <c r="N303" i="31"/>
  <c r="M303" i="31"/>
  <c r="L303" i="31"/>
  <c r="K303" i="31"/>
  <c r="J303" i="31"/>
  <c r="U302" i="31"/>
  <c r="T302" i="31"/>
  <c r="S302" i="31"/>
  <c r="R302" i="31"/>
  <c r="Q302" i="31"/>
  <c r="P302" i="31"/>
  <c r="O302" i="31"/>
  <c r="N302" i="31"/>
  <c r="M302" i="31"/>
  <c r="L302" i="31"/>
  <c r="K302" i="31"/>
  <c r="J302" i="31"/>
  <c r="U301" i="31"/>
  <c r="T301" i="31"/>
  <c r="S301" i="31"/>
  <c r="R301" i="31"/>
  <c r="Q301" i="31"/>
  <c r="P301" i="31"/>
  <c r="O301" i="31"/>
  <c r="N301" i="31"/>
  <c r="M301" i="31"/>
  <c r="L301" i="31"/>
  <c r="K301" i="31"/>
  <c r="J301" i="31"/>
  <c r="U300" i="31"/>
  <c r="T300" i="31"/>
  <c r="S300" i="31"/>
  <c r="R300" i="31"/>
  <c r="Q300" i="31"/>
  <c r="P300" i="31"/>
  <c r="O300" i="31"/>
  <c r="N300" i="31"/>
  <c r="M300" i="31"/>
  <c r="L300" i="31"/>
  <c r="K300" i="31"/>
  <c r="J300" i="31"/>
  <c r="U299" i="31"/>
  <c r="T299" i="31"/>
  <c r="S299" i="31"/>
  <c r="R299" i="31"/>
  <c r="Q299" i="31"/>
  <c r="P299" i="31"/>
  <c r="O299" i="31"/>
  <c r="N299" i="31"/>
  <c r="M299" i="31"/>
  <c r="L299" i="31"/>
  <c r="K299" i="31"/>
  <c r="J299" i="31"/>
  <c r="U298" i="31"/>
  <c r="T298" i="31"/>
  <c r="S298" i="31"/>
  <c r="R298" i="31"/>
  <c r="Q298" i="31"/>
  <c r="P298" i="31"/>
  <c r="O298" i="31"/>
  <c r="N298" i="31"/>
  <c r="M298" i="31"/>
  <c r="L298" i="31"/>
  <c r="K298" i="31"/>
  <c r="J298" i="31"/>
  <c r="U297" i="31"/>
  <c r="T297" i="31"/>
  <c r="S297" i="31"/>
  <c r="R297" i="31"/>
  <c r="Q297" i="31"/>
  <c r="P297" i="31"/>
  <c r="O297" i="31"/>
  <c r="N297" i="31"/>
  <c r="M297" i="31"/>
  <c r="L297" i="31"/>
  <c r="K297" i="31"/>
  <c r="J297" i="31"/>
  <c r="U296" i="31"/>
  <c r="T296" i="31"/>
  <c r="S296" i="31"/>
  <c r="R296" i="31"/>
  <c r="Q296" i="31"/>
  <c r="P296" i="31"/>
  <c r="O296" i="31"/>
  <c r="N296" i="31"/>
  <c r="M296" i="31"/>
  <c r="L296" i="31"/>
  <c r="K296" i="31"/>
  <c r="J296" i="31"/>
  <c r="U295" i="31"/>
  <c r="T295" i="31"/>
  <c r="S295" i="31"/>
  <c r="R295" i="31"/>
  <c r="Q295" i="31"/>
  <c r="P295" i="31"/>
  <c r="O295" i="31"/>
  <c r="N295" i="31"/>
  <c r="M295" i="31"/>
  <c r="L295" i="31"/>
  <c r="K295" i="31"/>
  <c r="J295" i="31"/>
  <c r="U224" i="31"/>
  <c r="T224" i="31"/>
  <c r="S224" i="31"/>
  <c r="R224" i="31"/>
  <c r="Q224" i="31"/>
  <c r="P224" i="31"/>
  <c r="O224" i="31"/>
  <c r="N224" i="31"/>
  <c r="M224" i="31"/>
  <c r="L224" i="31"/>
  <c r="K224" i="31"/>
  <c r="J224" i="31"/>
  <c r="U223" i="31"/>
  <c r="T223" i="31"/>
  <c r="S223" i="31"/>
  <c r="R223" i="31"/>
  <c r="Q223" i="31"/>
  <c r="P223" i="31"/>
  <c r="O223" i="31"/>
  <c r="N223" i="31"/>
  <c r="M223" i="31"/>
  <c r="L223" i="31"/>
  <c r="K223" i="31"/>
  <c r="J223" i="31"/>
  <c r="U222" i="31"/>
  <c r="T222" i="31"/>
  <c r="S222" i="31"/>
  <c r="R222" i="31"/>
  <c r="Q222" i="31"/>
  <c r="P222" i="31"/>
  <c r="O222" i="31"/>
  <c r="N222" i="31"/>
  <c r="M222" i="31"/>
  <c r="L222" i="31"/>
  <c r="K222" i="31"/>
  <c r="J222" i="31"/>
  <c r="U221" i="31"/>
  <c r="T221" i="31"/>
  <c r="S221" i="31"/>
  <c r="R221" i="31"/>
  <c r="Q221" i="31"/>
  <c r="P221" i="31"/>
  <c r="O221" i="31"/>
  <c r="N221" i="31"/>
  <c r="M221" i="31"/>
  <c r="L221" i="31"/>
  <c r="K221" i="31"/>
  <c r="J221" i="31"/>
  <c r="U220" i="31"/>
  <c r="T220" i="31"/>
  <c r="S220" i="31"/>
  <c r="R220" i="31"/>
  <c r="Q220" i="31"/>
  <c r="P220" i="31"/>
  <c r="O220" i="31"/>
  <c r="N220" i="31"/>
  <c r="M220" i="31"/>
  <c r="L220" i="31"/>
  <c r="K220" i="31"/>
  <c r="J220" i="31"/>
  <c r="U219" i="31"/>
  <c r="T219" i="31"/>
  <c r="S219" i="31"/>
  <c r="R219" i="31"/>
  <c r="Q219" i="31"/>
  <c r="P219" i="31"/>
  <c r="O219" i="31"/>
  <c r="N219" i="31"/>
  <c r="M219" i="31"/>
  <c r="L219" i="31"/>
  <c r="K219" i="31"/>
  <c r="J219" i="31"/>
  <c r="U218" i="31"/>
  <c r="T218" i="31"/>
  <c r="S218" i="31"/>
  <c r="R218" i="31"/>
  <c r="Q218" i="31"/>
  <c r="P218" i="31"/>
  <c r="O218" i="31"/>
  <c r="N218" i="31"/>
  <c r="M218" i="31"/>
  <c r="L218" i="31"/>
  <c r="K218" i="31"/>
  <c r="J218" i="31"/>
  <c r="U217" i="31"/>
  <c r="T217" i="31"/>
  <c r="S217" i="31"/>
  <c r="R217" i="31"/>
  <c r="Q217" i="31"/>
  <c r="P217" i="31"/>
  <c r="O217" i="31"/>
  <c r="N217" i="31"/>
  <c r="M217" i="31"/>
  <c r="L217" i="31"/>
  <c r="K217" i="31"/>
  <c r="J217" i="31"/>
  <c r="U216" i="31"/>
  <c r="T216" i="31"/>
  <c r="S216" i="31"/>
  <c r="R216" i="31"/>
  <c r="Q216" i="31"/>
  <c r="P216" i="31"/>
  <c r="O216" i="31"/>
  <c r="N216" i="31"/>
  <c r="M216" i="31"/>
  <c r="L216" i="31"/>
  <c r="K216" i="31"/>
  <c r="J216" i="31"/>
  <c r="U215" i="31"/>
  <c r="T215" i="31"/>
  <c r="S215" i="31"/>
  <c r="R215" i="31"/>
  <c r="Q215" i="31"/>
  <c r="P215" i="31"/>
  <c r="O215" i="31"/>
  <c r="N215" i="31"/>
  <c r="M215" i="31"/>
  <c r="L215" i="31"/>
  <c r="K215" i="31"/>
  <c r="J215" i="31"/>
  <c r="U214" i="31"/>
  <c r="T214" i="31"/>
  <c r="S214" i="31"/>
  <c r="R214" i="31"/>
  <c r="Q214" i="31"/>
  <c r="P214" i="31"/>
  <c r="O214" i="31"/>
  <c r="N214" i="31"/>
  <c r="M214" i="31"/>
  <c r="L214" i="31"/>
  <c r="K214" i="31"/>
  <c r="J214" i="31"/>
  <c r="U213" i="31"/>
  <c r="T213" i="31"/>
  <c r="S213" i="31"/>
  <c r="R213" i="31"/>
  <c r="Q213" i="31"/>
  <c r="P213" i="31"/>
  <c r="O213" i="31"/>
  <c r="N213" i="31"/>
  <c r="M213" i="31"/>
  <c r="L213" i="31"/>
  <c r="K213" i="31"/>
  <c r="J213" i="31"/>
  <c r="U212" i="31"/>
  <c r="T212" i="31"/>
  <c r="S212" i="31"/>
  <c r="R212" i="31"/>
  <c r="Q212" i="31"/>
  <c r="P212" i="31"/>
  <c r="O212" i="31"/>
  <c r="N212" i="31"/>
  <c r="M212" i="31"/>
  <c r="L212" i="31"/>
  <c r="K212" i="31"/>
  <c r="J212" i="31"/>
  <c r="J384" i="31"/>
  <c r="J544" i="31" s="1"/>
  <c r="R381" i="31"/>
  <c r="U388" i="31"/>
  <c r="U381" i="31"/>
  <c r="W388" i="31"/>
  <c r="M388" i="31" s="1"/>
  <c r="W383" i="31"/>
  <c r="P383" i="31" s="1"/>
  <c r="W382" i="31"/>
  <c r="S382" i="31" s="1"/>
  <c r="W381" i="31"/>
  <c r="N381" i="31" s="1"/>
  <c r="W380" i="31"/>
  <c r="Q380" i="31" s="1"/>
  <c r="W379" i="31"/>
  <c r="T379" i="31" s="1"/>
  <c r="W378" i="31"/>
  <c r="O378" i="31" s="1"/>
  <c r="W377" i="31"/>
  <c r="R377" i="31" s="1"/>
  <c r="W376" i="31"/>
  <c r="M376" i="31" s="1"/>
  <c r="K1" i="31"/>
  <c r="N376" i="31" l="1"/>
  <c r="J380" i="31"/>
  <c r="Q383" i="31"/>
  <c r="T377" i="31"/>
  <c r="N388" i="31"/>
  <c r="K380" i="31"/>
  <c r="K378" i="31"/>
  <c r="K538" i="31" s="1"/>
  <c r="O376" i="31"/>
  <c r="O453" i="31" s="1"/>
  <c r="Q378" i="31"/>
  <c r="R380" i="31"/>
  <c r="O388" i="31"/>
  <c r="O465" i="31" s="1"/>
  <c r="Q376" i="31"/>
  <c r="Q453" i="31" s="1"/>
  <c r="S378" i="31"/>
  <c r="S538" i="31" s="1"/>
  <c r="S380" i="31"/>
  <c r="S457" i="31" s="1"/>
  <c r="Q388" i="31"/>
  <c r="Q465" i="31" s="1"/>
  <c r="P378" i="31"/>
  <c r="P455" i="31" s="1"/>
  <c r="K377" i="31"/>
  <c r="K537" i="31" s="1"/>
  <c r="M379" i="31"/>
  <c r="J381" i="31"/>
  <c r="J461" i="31"/>
  <c r="L377" i="31"/>
  <c r="L454" i="31" s="1"/>
  <c r="N379" i="31"/>
  <c r="O381" i="31"/>
  <c r="M380" i="31"/>
  <c r="M540" i="31" s="1"/>
  <c r="U376" i="31"/>
  <c r="S377" i="31"/>
  <c r="P379" i="31"/>
  <c r="P381" i="31"/>
  <c r="J383" i="31"/>
  <c r="U383" i="31"/>
  <c r="U543" i="31" s="1"/>
  <c r="P376" i="31"/>
  <c r="M377" i="31"/>
  <c r="M454" i="31" s="1"/>
  <c r="J378" i="31"/>
  <c r="R378" i="31"/>
  <c r="R538" i="31" s="1"/>
  <c r="O379" i="31"/>
  <c r="O539" i="31" s="1"/>
  <c r="L380" i="31"/>
  <c r="L540" i="31" s="1"/>
  <c r="T380" i="31"/>
  <c r="T540" i="31" s="1"/>
  <c r="Q381" i="31"/>
  <c r="N382" i="31"/>
  <c r="K383" i="31"/>
  <c r="K460" i="31" s="1"/>
  <c r="S383" i="31"/>
  <c r="P388" i="31"/>
  <c r="P548" i="31" s="1"/>
  <c r="M382" i="31"/>
  <c r="M459" i="31" s="1"/>
  <c r="O382" i="31"/>
  <c r="O459" i="31" s="1"/>
  <c r="U377" i="31"/>
  <c r="U537" i="31" s="1"/>
  <c r="J376" i="31"/>
  <c r="J453" i="31" s="1"/>
  <c r="R376" i="31"/>
  <c r="O377" i="31"/>
  <c r="O537" i="31" s="1"/>
  <c r="L378" i="31"/>
  <c r="T378" i="31"/>
  <c r="Q379" i="31"/>
  <c r="N380" i="31"/>
  <c r="N540" i="31" s="1"/>
  <c r="K381" i="31"/>
  <c r="K541" i="31" s="1"/>
  <c r="S381" i="31"/>
  <c r="S458" i="31" s="1"/>
  <c r="P382" i="31"/>
  <c r="M383" i="31"/>
  <c r="M543" i="31" s="1"/>
  <c r="J388" i="31"/>
  <c r="J548" i="31" s="1"/>
  <c r="R388" i="31"/>
  <c r="R465" i="31" s="1"/>
  <c r="U382" i="31"/>
  <c r="U459" i="31" s="1"/>
  <c r="U378" i="31"/>
  <c r="U538" i="31" s="1"/>
  <c r="K376" i="31"/>
  <c r="K536" i="31" s="1"/>
  <c r="S376" i="31"/>
  <c r="S536" i="31" s="1"/>
  <c r="P377" i="31"/>
  <c r="M378" i="31"/>
  <c r="M538" i="31" s="1"/>
  <c r="J379" i="31"/>
  <c r="R379" i="31"/>
  <c r="O380" i="31"/>
  <c r="O457" i="31" s="1"/>
  <c r="L381" i="31"/>
  <c r="L458" i="31" s="1"/>
  <c r="T381" i="31"/>
  <c r="T458" i="31" s="1"/>
  <c r="Q382" i="31"/>
  <c r="N383" i="31"/>
  <c r="N543" i="31" s="1"/>
  <c r="K388" i="31"/>
  <c r="S388" i="31"/>
  <c r="S465" i="31" s="1"/>
  <c r="T382" i="31"/>
  <c r="T459" i="31" s="1"/>
  <c r="R383" i="31"/>
  <c r="R543" i="31" s="1"/>
  <c r="N377" i="31"/>
  <c r="N454" i="31" s="1"/>
  <c r="L383" i="31"/>
  <c r="L460" i="31" s="1"/>
  <c r="U379" i="31"/>
  <c r="U456" i="31" s="1"/>
  <c r="L376" i="31"/>
  <c r="T376" i="31"/>
  <c r="Q377" i="31"/>
  <c r="N378" i="31"/>
  <c r="N538" i="31" s="1"/>
  <c r="K379" i="31"/>
  <c r="K456" i="31" s="1"/>
  <c r="S379" i="31"/>
  <c r="S539" i="31" s="1"/>
  <c r="P380" i="31"/>
  <c r="P540" i="31" s="1"/>
  <c r="M381" i="31"/>
  <c r="M458" i="31" s="1"/>
  <c r="J382" i="31"/>
  <c r="J459" i="31" s="1"/>
  <c r="R382" i="31"/>
  <c r="R459" i="31" s="1"/>
  <c r="O383" i="31"/>
  <c r="L388" i="31"/>
  <c r="L465" i="31" s="1"/>
  <c r="T388" i="31"/>
  <c r="L382" i="31"/>
  <c r="L459" i="31" s="1"/>
  <c r="T383" i="31"/>
  <c r="T543" i="31" s="1"/>
  <c r="U380" i="31"/>
  <c r="U540" i="31" s="1"/>
  <c r="J377" i="31"/>
  <c r="L379" i="31"/>
  <c r="K382" i="31"/>
  <c r="L287" i="31"/>
  <c r="V287" i="31"/>
  <c r="V283" i="31"/>
  <c r="J280" i="31"/>
  <c r="J277" i="31"/>
  <c r="J197" i="31"/>
  <c r="J196" i="31"/>
  <c r="M195" i="31"/>
  <c r="J361" i="31"/>
  <c r="U370" i="31"/>
  <c r="T370" i="31"/>
  <c r="S370" i="31"/>
  <c r="R370" i="31"/>
  <c r="Q370" i="31"/>
  <c r="P370" i="31"/>
  <c r="O370" i="31"/>
  <c r="N370" i="31"/>
  <c r="M370" i="31"/>
  <c r="L370" i="31"/>
  <c r="K370" i="31"/>
  <c r="U366" i="31"/>
  <c r="T366" i="31"/>
  <c r="S366" i="31"/>
  <c r="R366" i="31"/>
  <c r="Q366" i="31"/>
  <c r="P366" i="31"/>
  <c r="O366" i="31"/>
  <c r="N366" i="31"/>
  <c r="M366" i="31"/>
  <c r="L366" i="31"/>
  <c r="K366" i="31"/>
  <c r="U364" i="31"/>
  <c r="T364" i="31"/>
  <c r="S364" i="31"/>
  <c r="R364" i="31"/>
  <c r="Q364" i="31"/>
  <c r="P364" i="31"/>
  <c r="O364" i="31"/>
  <c r="N364" i="31"/>
  <c r="M364" i="31"/>
  <c r="L364" i="31"/>
  <c r="K364" i="31"/>
  <c r="P362" i="31"/>
  <c r="O362" i="31"/>
  <c r="N362" i="31"/>
  <c r="U361" i="31"/>
  <c r="U362" i="31" s="1"/>
  <c r="T361" i="31"/>
  <c r="T362" i="31" s="1"/>
  <c r="S361" i="31"/>
  <c r="S362" i="31" s="1"/>
  <c r="R361" i="31"/>
  <c r="R362" i="31" s="1"/>
  <c r="Q361" i="31"/>
  <c r="Q362" i="31" s="1"/>
  <c r="P361" i="31"/>
  <c r="O361" i="31"/>
  <c r="N361" i="31"/>
  <c r="M361" i="31"/>
  <c r="M362" i="31" s="1"/>
  <c r="L361" i="31"/>
  <c r="L362" i="31" s="1"/>
  <c r="K361" i="31"/>
  <c r="K362" i="31" s="1"/>
  <c r="J370" i="31"/>
  <c r="J366" i="31"/>
  <c r="J364" i="31"/>
  <c r="J362" i="31"/>
  <c r="W129" i="31"/>
  <c r="W125" i="31"/>
  <c r="W123" i="31"/>
  <c r="W121" i="31"/>
  <c r="W120" i="31"/>
  <c r="T548" i="31"/>
  <c r="N548" i="31"/>
  <c r="M548" i="31"/>
  <c r="K465" i="31"/>
  <c r="U387" i="31"/>
  <c r="T387" i="31"/>
  <c r="S387" i="31"/>
  <c r="R387" i="31"/>
  <c r="Q387" i="31"/>
  <c r="P387" i="31"/>
  <c r="O387" i="31"/>
  <c r="N387" i="31"/>
  <c r="M387" i="31"/>
  <c r="L387" i="31"/>
  <c r="K387" i="31"/>
  <c r="U386" i="31"/>
  <c r="T386" i="31"/>
  <c r="S386" i="31"/>
  <c r="R386" i="31"/>
  <c r="Q386" i="31"/>
  <c r="P386" i="31"/>
  <c r="O386" i="31"/>
  <c r="N386" i="31"/>
  <c r="M386" i="31"/>
  <c r="L386" i="31"/>
  <c r="K386" i="31"/>
  <c r="U385" i="31"/>
  <c r="T385" i="31"/>
  <c r="S385" i="31"/>
  <c r="R385" i="31"/>
  <c r="Q385" i="31"/>
  <c r="P385" i="31"/>
  <c r="O385" i="31"/>
  <c r="N385" i="31"/>
  <c r="M385" i="31"/>
  <c r="L385" i="31"/>
  <c r="K385" i="31"/>
  <c r="U384" i="31"/>
  <c r="T384" i="31"/>
  <c r="S384" i="31"/>
  <c r="R384" i="31"/>
  <c r="Q384" i="31"/>
  <c r="P384" i="31"/>
  <c r="O384" i="31"/>
  <c r="N384" i="31"/>
  <c r="M384" i="31"/>
  <c r="L384" i="31"/>
  <c r="K384" i="31"/>
  <c r="U548" i="31"/>
  <c r="J387" i="31"/>
  <c r="J386" i="31"/>
  <c r="J385" i="31"/>
  <c r="S550" i="31"/>
  <c r="J532" i="31"/>
  <c r="J401" i="31"/>
  <c r="S543" i="31"/>
  <c r="Q543" i="31"/>
  <c r="P543" i="31"/>
  <c r="O460" i="31"/>
  <c r="S542" i="31"/>
  <c r="Q459" i="31"/>
  <c r="P459" i="31"/>
  <c r="N542" i="31"/>
  <c r="K542" i="31"/>
  <c r="U458" i="31"/>
  <c r="R541" i="31"/>
  <c r="Q541" i="31"/>
  <c r="P458" i="31"/>
  <c r="O458" i="31"/>
  <c r="N458" i="31"/>
  <c r="R457" i="31"/>
  <c r="Q457" i="31"/>
  <c r="K457" i="31"/>
  <c r="T456" i="31"/>
  <c r="R539" i="31"/>
  <c r="Q539" i="31"/>
  <c r="P539" i="31"/>
  <c r="N456" i="31"/>
  <c r="M456" i="31"/>
  <c r="L456" i="31"/>
  <c r="T538" i="31"/>
  <c r="Q455" i="31"/>
  <c r="O538" i="31"/>
  <c r="L538" i="31"/>
  <c r="T454" i="31"/>
  <c r="S454" i="31"/>
  <c r="R537" i="31"/>
  <c r="Q454" i="31"/>
  <c r="P537" i="31"/>
  <c r="K454" i="31"/>
  <c r="U536" i="31"/>
  <c r="T536" i="31"/>
  <c r="R536" i="31"/>
  <c r="P453" i="31"/>
  <c r="N536" i="31"/>
  <c r="M536" i="31"/>
  <c r="L536" i="31"/>
  <c r="K424" i="31"/>
  <c r="L475" i="31"/>
  <c r="L398" i="31"/>
  <c r="L234" i="31"/>
  <c r="K309" i="31"/>
  <c r="J550" i="31"/>
  <c r="J249" i="31"/>
  <c r="U232" i="31"/>
  <c r="T232" i="31"/>
  <c r="S232" i="31"/>
  <c r="R232" i="31"/>
  <c r="Q232" i="31"/>
  <c r="P232" i="31"/>
  <c r="O232" i="31"/>
  <c r="N232" i="31"/>
  <c r="M232" i="31"/>
  <c r="L232" i="31"/>
  <c r="K232" i="31"/>
  <c r="J232" i="31"/>
  <c r="U231" i="31"/>
  <c r="T231" i="31"/>
  <c r="S231" i="31"/>
  <c r="R231" i="31"/>
  <c r="Q231" i="31"/>
  <c r="P231" i="31"/>
  <c r="O231" i="31"/>
  <c r="N231" i="31"/>
  <c r="M231" i="31"/>
  <c r="L231" i="31"/>
  <c r="K231" i="31"/>
  <c r="J231" i="31"/>
  <c r="U230" i="31"/>
  <c r="T230" i="31"/>
  <c r="S230" i="31"/>
  <c r="R230" i="31"/>
  <c r="Q230" i="31"/>
  <c r="P230" i="31"/>
  <c r="O230" i="31"/>
  <c r="N230" i="31"/>
  <c r="M230" i="31"/>
  <c r="L230" i="31"/>
  <c r="K230" i="31"/>
  <c r="J230" i="31"/>
  <c r="U229" i="31"/>
  <c r="T229" i="31"/>
  <c r="S229" i="31"/>
  <c r="R229" i="31"/>
  <c r="Q229" i="31"/>
  <c r="P229" i="31"/>
  <c r="O229" i="31"/>
  <c r="N229" i="31"/>
  <c r="M229" i="31"/>
  <c r="L229" i="31"/>
  <c r="K229" i="31"/>
  <c r="J229" i="31"/>
  <c r="U228" i="31"/>
  <c r="T228" i="31"/>
  <c r="S228" i="31"/>
  <c r="R228" i="31"/>
  <c r="Q228" i="31"/>
  <c r="P228" i="31"/>
  <c r="O228" i="31"/>
  <c r="N228" i="31"/>
  <c r="M228" i="31"/>
  <c r="L228" i="31"/>
  <c r="K228" i="31"/>
  <c r="J228" i="31"/>
  <c r="U227" i="31"/>
  <c r="T227" i="31"/>
  <c r="S227" i="31"/>
  <c r="R227" i="31"/>
  <c r="Q227" i="31"/>
  <c r="P227" i="31"/>
  <c r="O227" i="31"/>
  <c r="N227" i="31"/>
  <c r="M227" i="31"/>
  <c r="L227" i="31"/>
  <c r="K227" i="31"/>
  <c r="J227" i="31"/>
  <c r="U226" i="31"/>
  <c r="T226" i="31"/>
  <c r="S226" i="31"/>
  <c r="R226" i="31"/>
  <c r="Q226" i="31"/>
  <c r="P226" i="31"/>
  <c r="O226" i="31"/>
  <c r="N226" i="31"/>
  <c r="M226" i="31"/>
  <c r="L226" i="31"/>
  <c r="K226" i="31"/>
  <c r="J226" i="31"/>
  <c r="U225" i="31"/>
  <c r="T225" i="31"/>
  <c r="S225" i="31"/>
  <c r="R225" i="31"/>
  <c r="Q225" i="31"/>
  <c r="P225" i="31"/>
  <c r="O225" i="31"/>
  <c r="N225" i="31"/>
  <c r="M225" i="31"/>
  <c r="L225" i="31"/>
  <c r="K225" i="31"/>
  <c r="T211" i="31"/>
  <c r="S211" i="31"/>
  <c r="R211" i="31"/>
  <c r="Q211" i="31"/>
  <c r="P211" i="31"/>
  <c r="O211" i="31"/>
  <c r="N211" i="31"/>
  <c r="M211" i="31"/>
  <c r="L211" i="31"/>
  <c r="K211" i="31"/>
  <c r="J211" i="31"/>
  <c r="T210" i="31"/>
  <c r="S210" i="31"/>
  <c r="R210" i="31"/>
  <c r="Q210" i="31"/>
  <c r="P210" i="31"/>
  <c r="O210" i="31"/>
  <c r="N210" i="31"/>
  <c r="M210" i="31"/>
  <c r="L210" i="31"/>
  <c r="K210" i="31"/>
  <c r="J210" i="31"/>
  <c r="T209" i="31"/>
  <c r="S209" i="31"/>
  <c r="R209" i="31"/>
  <c r="Q209" i="31"/>
  <c r="P209" i="31"/>
  <c r="O209" i="31"/>
  <c r="N209" i="31"/>
  <c r="M209" i="31"/>
  <c r="L209" i="31"/>
  <c r="K209" i="31"/>
  <c r="J209" i="31"/>
  <c r="T208" i="31"/>
  <c r="S208" i="31"/>
  <c r="R208" i="31"/>
  <c r="Q208" i="31"/>
  <c r="P208" i="31"/>
  <c r="O208" i="31"/>
  <c r="N208" i="31"/>
  <c r="M208" i="31"/>
  <c r="L208" i="31"/>
  <c r="K208" i="31"/>
  <c r="J208" i="31"/>
  <c r="T207" i="31"/>
  <c r="S207" i="31"/>
  <c r="R207" i="31"/>
  <c r="Q207" i="31"/>
  <c r="P207" i="31"/>
  <c r="O207" i="31"/>
  <c r="N207" i="31"/>
  <c r="M207" i="31"/>
  <c r="L207" i="31"/>
  <c r="K207" i="31"/>
  <c r="J207" i="31"/>
  <c r="T206" i="31"/>
  <c r="S206" i="31"/>
  <c r="R206" i="31"/>
  <c r="Q206" i="31"/>
  <c r="P206" i="31"/>
  <c r="O206" i="31"/>
  <c r="N206" i="31"/>
  <c r="M206" i="31"/>
  <c r="L206" i="31"/>
  <c r="K206" i="31"/>
  <c r="J206" i="31"/>
  <c r="T205" i="31"/>
  <c r="S205" i="31"/>
  <c r="R205" i="31"/>
  <c r="Q205" i="31"/>
  <c r="P205" i="31"/>
  <c r="O205" i="31"/>
  <c r="N205" i="31"/>
  <c r="M205" i="31"/>
  <c r="L205" i="31"/>
  <c r="K205" i="31"/>
  <c r="J205" i="31"/>
  <c r="T204" i="31"/>
  <c r="S204" i="31"/>
  <c r="R204" i="31"/>
  <c r="Q204" i="31"/>
  <c r="P204" i="31"/>
  <c r="O204" i="31"/>
  <c r="N204" i="31"/>
  <c r="M204" i="31"/>
  <c r="L204" i="31"/>
  <c r="K204" i="31"/>
  <c r="J204" i="31"/>
  <c r="T203" i="31"/>
  <c r="S203" i="31"/>
  <c r="R203" i="31"/>
  <c r="Q203" i="31"/>
  <c r="P203" i="31"/>
  <c r="O203" i="31"/>
  <c r="N203" i="31"/>
  <c r="M203" i="31"/>
  <c r="L203" i="31"/>
  <c r="K203" i="31"/>
  <c r="J203" i="31"/>
  <c r="T202" i="31"/>
  <c r="S202" i="31"/>
  <c r="R202" i="31"/>
  <c r="Q202" i="31"/>
  <c r="P202" i="31"/>
  <c r="O202" i="31"/>
  <c r="N202" i="31"/>
  <c r="M202" i="31"/>
  <c r="L202" i="31"/>
  <c r="K202" i="31"/>
  <c r="J202" i="31"/>
  <c r="T201" i="31"/>
  <c r="S201" i="31"/>
  <c r="R201" i="31"/>
  <c r="Q201" i="31"/>
  <c r="P201" i="31"/>
  <c r="O201" i="31"/>
  <c r="N201" i="31"/>
  <c r="M201" i="31"/>
  <c r="L201" i="31"/>
  <c r="K201" i="31"/>
  <c r="J201" i="31"/>
  <c r="T200" i="31"/>
  <c r="S200" i="31"/>
  <c r="R200" i="31"/>
  <c r="Q200" i="31"/>
  <c r="P200" i="31"/>
  <c r="O200" i="31"/>
  <c r="N200" i="31"/>
  <c r="M200" i="31"/>
  <c r="L200" i="31"/>
  <c r="K200" i="31"/>
  <c r="J200" i="31"/>
  <c r="T199" i="31"/>
  <c r="S199" i="31"/>
  <c r="R199" i="31"/>
  <c r="Q199" i="31"/>
  <c r="P199" i="31"/>
  <c r="O199" i="31"/>
  <c r="N199" i="31"/>
  <c r="M199" i="31"/>
  <c r="L199" i="31"/>
  <c r="K199" i="31"/>
  <c r="J199" i="31"/>
  <c r="T198" i="31"/>
  <c r="S198" i="31"/>
  <c r="R198" i="31"/>
  <c r="Q198" i="31"/>
  <c r="P198" i="31"/>
  <c r="O198" i="31"/>
  <c r="N198" i="31"/>
  <c r="M198" i="31"/>
  <c r="L198" i="31"/>
  <c r="K198" i="31"/>
  <c r="J198" i="31"/>
  <c r="T197" i="31"/>
  <c r="S197" i="31"/>
  <c r="R197" i="31"/>
  <c r="Q197" i="31"/>
  <c r="P197" i="31"/>
  <c r="O197" i="31"/>
  <c r="N197" i="31"/>
  <c r="M197" i="31"/>
  <c r="L197" i="31"/>
  <c r="K197" i="31"/>
  <c r="T196" i="31"/>
  <c r="S196" i="31"/>
  <c r="R196" i="31"/>
  <c r="Q196" i="31"/>
  <c r="P196" i="31"/>
  <c r="O196" i="31"/>
  <c r="N196" i="31"/>
  <c r="M196" i="31"/>
  <c r="L196" i="31"/>
  <c r="K196" i="31"/>
  <c r="T195" i="31"/>
  <c r="S195" i="31"/>
  <c r="R195" i="31"/>
  <c r="Q195" i="31"/>
  <c r="P195" i="31"/>
  <c r="O195" i="31"/>
  <c r="N195" i="31"/>
  <c r="L195" i="31"/>
  <c r="K195" i="31"/>
  <c r="J195" i="31"/>
  <c r="T194" i="31"/>
  <c r="S194" i="31"/>
  <c r="R194" i="31"/>
  <c r="Q194" i="31"/>
  <c r="P194" i="31"/>
  <c r="O194" i="31"/>
  <c r="N194" i="31"/>
  <c r="M194" i="31"/>
  <c r="L194" i="31"/>
  <c r="K194" i="31"/>
  <c r="J194" i="31"/>
  <c r="T193" i="31"/>
  <c r="S193" i="31"/>
  <c r="R193" i="31"/>
  <c r="Q193" i="31"/>
  <c r="P193" i="31"/>
  <c r="O193" i="31"/>
  <c r="N193" i="31"/>
  <c r="M193" i="31"/>
  <c r="L193" i="31"/>
  <c r="K193" i="31"/>
  <c r="J193" i="31"/>
  <c r="T192" i="31"/>
  <c r="S192" i="31"/>
  <c r="R192" i="31"/>
  <c r="Q192" i="31"/>
  <c r="P192" i="31"/>
  <c r="O192" i="31"/>
  <c r="N192" i="31"/>
  <c r="M192" i="31"/>
  <c r="L192" i="31"/>
  <c r="K192" i="31"/>
  <c r="J192" i="31"/>
  <c r="T191" i="31"/>
  <c r="S191" i="31"/>
  <c r="R191" i="31"/>
  <c r="Q191" i="31"/>
  <c r="P191" i="31"/>
  <c r="O191" i="31"/>
  <c r="N191" i="31"/>
  <c r="M191" i="31"/>
  <c r="L191" i="31"/>
  <c r="K191" i="31"/>
  <c r="J191" i="31"/>
  <c r="T190" i="31"/>
  <c r="S190" i="31"/>
  <c r="R190" i="31"/>
  <c r="Q190" i="31"/>
  <c r="P190" i="31"/>
  <c r="O190" i="31"/>
  <c r="N190" i="31"/>
  <c r="M190" i="31"/>
  <c r="L190" i="31"/>
  <c r="K190" i="31"/>
  <c r="J190" i="31"/>
  <c r="T189" i="31"/>
  <c r="S189" i="31"/>
  <c r="R189" i="31"/>
  <c r="Q189" i="31"/>
  <c r="P189" i="31"/>
  <c r="O189" i="31"/>
  <c r="N189" i="31"/>
  <c r="M189" i="31"/>
  <c r="L189" i="31"/>
  <c r="K189" i="31"/>
  <c r="J189" i="31"/>
  <c r="T188" i="31"/>
  <c r="S188" i="31"/>
  <c r="R188" i="31"/>
  <c r="Q188" i="31"/>
  <c r="P188" i="31"/>
  <c r="O188" i="31"/>
  <c r="N188" i="31"/>
  <c r="M188" i="31"/>
  <c r="L188" i="31"/>
  <c r="K188" i="31"/>
  <c r="J188" i="31"/>
  <c r="T187" i="31"/>
  <c r="S187" i="31"/>
  <c r="R187" i="31"/>
  <c r="Q187" i="31"/>
  <c r="P187" i="31"/>
  <c r="O187" i="31"/>
  <c r="N187" i="31"/>
  <c r="M187" i="31"/>
  <c r="L187" i="31"/>
  <c r="K187" i="31"/>
  <c r="J187" i="31"/>
  <c r="T186" i="31"/>
  <c r="S186" i="31"/>
  <c r="R186" i="31"/>
  <c r="Q186" i="31"/>
  <c r="P186" i="31"/>
  <c r="O186" i="31"/>
  <c r="N186" i="31"/>
  <c r="M186" i="31"/>
  <c r="L186" i="31"/>
  <c r="K186" i="31"/>
  <c r="J186" i="31"/>
  <c r="T185" i="31"/>
  <c r="S185" i="31"/>
  <c r="R185" i="31"/>
  <c r="Q185" i="31"/>
  <c r="P185" i="31"/>
  <c r="O185" i="31"/>
  <c r="N185" i="31"/>
  <c r="M185" i="31"/>
  <c r="L185" i="31"/>
  <c r="K185" i="31"/>
  <c r="J185" i="31"/>
  <c r="T184" i="31"/>
  <c r="S184" i="31"/>
  <c r="R184" i="31"/>
  <c r="Q184" i="31"/>
  <c r="P184" i="31"/>
  <c r="O184" i="31"/>
  <c r="N184" i="31"/>
  <c r="M184" i="31"/>
  <c r="L184" i="31"/>
  <c r="K184" i="31"/>
  <c r="J184" i="31"/>
  <c r="T183" i="31"/>
  <c r="S183" i="31"/>
  <c r="R183" i="31"/>
  <c r="Q183" i="31"/>
  <c r="P183" i="31"/>
  <c r="O183" i="31"/>
  <c r="N183" i="31"/>
  <c r="M183" i="31"/>
  <c r="L183" i="31"/>
  <c r="K183" i="31"/>
  <c r="J183" i="31"/>
  <c r="T182" i="31"/>
  <c r="S182" i="31"/>
  <c r="R182" i="31"/>
  <c r="Q182" i="31"/>
  <c r="P182" i="31"/>
  <c r="O182" i="31"/>
  <c r="N182" i="31"/>
  <c r="M182" i="31"/>
  <c r="L182" i="31"/>
  <c r="K182" i="31"/>
  <c r="J182" i="31"/>
  <c r="T181" i="31"/>
  <c r="S181" i="31"/>
  <c r="R181" i="31"/>
  <c r="Q181" i="31"/>
  <c r="P181" i="31"/>
  <c r="O181" i="31"/>
  <c r="N181" i="31"/>
  <c r="M181" i="31"/>
  <c r="L181" i="31"/>
  <c r="K181" i="31"/>
  <c r="J181" i="31"/>
  <c r="T180" i="31"/>
  <c r="S180" i="31"/>
  <c r="R180" i="31"/>
  <c r="Q180" i="31"/>
  <c r="P180" i="31"/>
  <c r="O180" i="31"/>
  <c r="N180" i="31"/>
  <c r="M180" i="31"/>
  <c r="L180" i="31"/>
  <c r="K180" i="31"/>
  <c r="J180" i="31"/>
  <c r="T179" i="31"/>
  <c r="S179" i="31"/>
  <c r="R179" i="31"/>
  <c r="Q179" i="31"/>
  <c r="P179" i="31"/>
  <c r="O179" i="31"/>
  <c r="N179" i="31"/>
  <c r="M179" i="31"/>
  <c r="L179" i="31"/>
  <c r="K179" i="31"/>
  <c r="J179" i="31"/>
  <c r="T178" i="31"/>
  <c r="S178" i="31"/>
  <c r="R178" i="31"/>
  <c r="Q178" i="31"/>
  <c r="P178" i="31"/>
  <c r="O178" i="31"/>
  <c r="N178" i="31"/>
  <c r="M178" i="31"/>
  <c r="L178" i="31"/>
  <c r="K178" i="31"/>
  <c r="J178" i="31"/>
  <c r="T177" i="31"/>
  <c r="S177" i="31"/>
  <c r="R177" i="31"/>
  <c r="Q177" i="31"/>
  <c r="P177" i="31"/>
  <c r="O177" i="31"/>
  <c r="N177" i="31"/>
  <c r="M177" i="31"/>
  <c r="L177" i="31"/>
  <c r="K177" i="31"/>
  <c r="J177" i="31"/>
  <c r="T176" i="31"/>
  <c r="S176" i="31"/>
  <c r="R176" i="31"/>
  <c r="Q176" i="31"/>
  <c r="P176" i="31"/>
  <c r="O176" i="31"/>
  <c r="N176" i="31"/>
  <c r="M176" i="31"/>
  <c r="L176" i="31"/>
  <c r="K176" i="31"/>
  <c r="J176" i="31"/>
  <c r="T175" i="31"/>
  <c r="S175" i="31"/>
  <c r="R175" i="31"/>
  <c r="Q175" i="31"/>
  <c r="P175" i="31"/>
  <c r="O175" i="31"/>
  <c r="N175" i="31"/>
  <c r="M175" i="31"/>
  <c r="L175" i="31"/>
  <c r="K175" i="31"/>
  <c r="J175" i="31"/>
  <c r="T174" i="31"/>
  <c r="S174" i="31"/>
  <c r="R174" i="31"/>
  <c r="Q174" i="31"/>
  <c r="P174" i="31"/>
  <c r="O174" i="31"/>
  <c r="N174" i="31"/>
  <c r="M174" i="31"/>
  <c r="L174" i="31"/>
  <c r="K174" i="31"/>
  <c r="J174" i="31"/>
  <c r="T173" i="31"/>
  <c r="S173" i="31"/>
  <c r="R173" i="31"/>
  <c r="Q173" i="31"/>
  <c r="P173" i="31"/>
  <c r="O173" i="31"/>
  <c r="N173" i="31"/>
  <c r="M173" i="31"/>
  <c r="L173" i="31"/>
  <c r="K173" i="31"/>
  <c r="J173" i="31"/>
  <c r="T172" i="31"/>
  <c r="S172" i="31"/>
  <c r="R172" i="31"/>
  <c r="Q172" i="31"/>
  <c r="P172" i="31"/>
  <c r="O172" i="31"/>
  <c r="N172" i="31"/>
  <c r="M172" i="31"/>
  <c r="L172" i="31"/>
  <c r="K172" i="31"/>
  <c r="J172" i="31"/>
  <c r="T171" i="31"/>
  <c r="S171" i="31"/>
  <c r="R171" i="31"/>
  <c r="Q171" i="31"/>
  <c r="P171" i="31"/>
  <c r="O171" i="31"/>
  <c r="N171" i="31"/>
  <c r="M171" i="31"/>
  <c r="L171" i="31"/>
  <c r="K171" i="31"/>
  <c r="J171" i="31"/>
  <c r="T170" i="31"/>
  <c r="S170" i="31"/>
  <c r="R170" i="31"/>
  <c r="Q170" i="31"/>
  <c r="P170" i="31"/>
  <c r="O170" i="31"/>
  <c r="N170" i="31"/>
  <c r="M170" i="31"/>
  <c r="L170" i="31"/>
  <c r="K170" i="31"/>
  <c r="J170" i="31"/>
  <c r="T169" i="31"/>
  <c r="S169" i="31"/>
  <c r="R169" i="31"/>
  <c r="Q169" i="31"/>
  <c r="P169" i="31"/>
  <c r="O169" i="31"/>
  <c r="N169" i="31"/>
  <c r="M169" i="31"/>
  <c r="L169" i="31"/>
  <c r="K169" i="31"/>
  <c r="J169" i="31"/>
  <c r="T168" i="31"/>
  <c r="S168" i="31"/>
  <c r="R168" i="31"/>
  <c r="Q168" i="31"/>
  <c r="P168" i="31"/>
  <c r="O168" i="31"/>
  <c r="N168" i="31"/>
  <c r="M168" i="31"/>
  <c r="L168" i="31"/>
  <c r="K168" i="31"/>
  <c r="J168" i="31"/>
  <c r="T167" i="31"/>
  <c r="S167" i="31"/>
  <c r="R167" i="31"/>
  <c r="Q167" i="31"/>
  <c r="P167" i="31"/>
  <c r="O167" i="31"/>
  <c r="N167" i="31"/>
  <c r="M167" i="31"/>
  <c r="L167" i="31"/>
  <c r="K167" i="31"/>
  <c r="J167" i="31"/>
  <c r="T166" i="31"/>
  <c r="S166" i="31"/>
  <c r="R166" i="31"/>
  <c r="Q166" i="31"/>
  <c r="P166" i="31"/>
  <c r="O166" i="31"/>
  <c r="N166" i="31"/>
  <c r="M166" i="31"/>
  <c r="L166" i="31"/>
  <c r="K166" i="31"/>
  <c r="J166" i="31"/>
  <c r="T165" i="31"/>
  <c r="S165" i="31"/>
  <c r="R165" i="31"/>
  <c r="Q165" i="31"/>
  <c r="P165" i="31"/>
  <c r="O165" i="31"/>
  <c r="N165" i="31"/>
  <c r="M165" i="31"/>
  <c r="L165" i="31"/>
  <c r="K165" i="31"/>
  <c r="J165" i="31"/>
  <c r="T164" i="31"/>
  <c r="S164" i="31"/>
  <c r="R164" i="31"/>
  <c r="Q164" i="31"/>
  <c r="P164" i="31"/>
  <c r="O164" i="31"/>
  <c r="N164" i="31"/>
  <c r="M164" i="31"/>
  <c r="L164" i="31"/>
  <c r="K164" i="31"/>
  <c r="J164" i="31"/>
  <c r="T163" i="31"/>
  <c r="S163" i="31"/>
  <c r="R163" i="31"/>
  <c r="Q163" i="31"/>
  <c r="P163" i="31"/>
  <c r="O163" i="31"/>
  <c r="N163" i="31"/>
  <c r="M163" i="31"/>
  <c r="L163" i="31"/>
  <c r="K163" i="31"/>
  <c r="J163" i="31"/>
  <c r="T162" i="31"/>
  <c r="S162" i="31"/>
  <c r="R162" i="31"/>
  <c r="Q162" i="31"/>
  <c r="P162" i="31"/>
  <c r="O162" i="31"/>
  <c r="N162" i="31"/>
  <c r="M162" i="31"/>
  <c r="L162" i="31"/>
  <c r="K162" i="31"/>
  <c r="J162" i="31"/>
  <c r="T161" i="31"/>
  <c r="S161" i="31"/>
  <c r="R161" i="31"/>
  <c r="Q161" i="31"/>
  <c r="P161" i="31"/>
  <c r="O161" i="31"/>
  <c r="N161" i="31"/>
  <c r="M161" i="31"/>
  <c r="L161" i="31"/>
  <c r="K161" i="31"/>
  <c r="J161" i="31"/>
  <c r="T160" i="31"/>
  <c r="S160" i="31"/>
  <c r="R160" i="31"/>
  <c r="Q160" i="31"/>
  <c r="P160" i="31"/>
  <c r="O160" i="31"/>
  <c r="N160" i="31"/>
  <c r="M160" i="31"/>
  <c r="L160" i="31"/>
  <c r="K160" i="31"/>
  <c r="L157" i="31"/>
  <c r="N462" i="31" l="1"/>
  <c r="N545" i="31"/>
  <c r="L463" i="31"/>
  <c r="L546" i="31"/>
  <c r="T463" i="31"/>
  <c r="T546" i="31"/>
  <c r="Q464" i="31"/>
  <c r="Q547" i="31"/>
  <c r="J546" i="31"/>
  <c r="J463" i="31"/>
  <c r="O547" i="31"/>
  <c r="O464" i="31"/>
  <c r="P464" i="31"/>
  <c r="P547" i="31"/>
  <c r="R461" i="31"/>
  <c r="R544" i="31"/>
  <c r="K461" i="31"/>
  <c r="K544" i="31"/>
  <c r="S544" i="31"/>
  <c r="S461" i="31"/>
  <c r="P545" i="31"/>
  <c r="P462" i="31"/>
  <c r="M546" i="31"/>
  <c r="M463" i="31"/>
  <c r="R464" i="31"/>
  <c r="R547" i="31"/>
  <c r="J547" i="31"/>
  <c r="J464" i="31"/>
  <c r="L461" i="31"/>
  <c r="L544" i="31"/>
  <c r="T544" i="31"/>
  <c r="T461" i="31"/>
  <c r="Q545" i="31"/>
  <c r="Q462" i="31"/>
  <c r="N546" i="31"/>
  <c r="N463" i="31"/>
  <c r="K464" i="31"/>
  <c r="K547" i="31"/>
  <c r="S547" i="31"/>
  <c r="S464" i="31"/>
  <c r="S463" i="31"/>
  <c r="S546" i="31"/>
  <c r="M544" i="31"/>
  <c r="M461" i="31"/>
  <c r="R545" i="31"/>
  <c r="R462" i="31"/>
  <c r="O546" i="31"/>
  <c r="O463" i="31"/>
  <c r="L547" i="31"/>
  <c r="L464" i="31"/>
  <c r="T547" i="31"/>
  <c r="T464" i="31"/>
  <c r="P461" i="31"/>
  <c r="P544" i="31"/>
  <c r="R463" i="31"/>
  <c r="R546" i="31"/>
  <c r="K463" i="31"/>
  <c r="K546" i="31"/>
  <c r="O462" i="31"/>
  <c r="O545" i="31"/>
  <c r="N461" i="31"/>
  <c r="N544" i="31"/>
  <c r="K462" i="31"/>
  <c r="K545" i="31"/>
  <c r="S462" i="31"/>
  <c r="S545" i="31"/>
  <c r="P463" i="31"/>
  <c r="P546" i="31"/>
  <c r="M547" i="31"/>
  <c r="M464" i="31"/>
  <c r="M462" i="31"/>
  <c r="M545" i="31"/>
  <c r="Q461" i="31"/>
  <c r="Q544" i="31"/>
  <c r="J545" i="31"/>
  <c r="J462" i="31"/>
  <c r="O544" i="31"/>
  <c r="O461" i="31"/>
  <c r="L462" i="31"/>
  <c r="L545" i="31"/>
  <c r="T462" i="31"/>
  <c r="T545" i="31"/>
  <c r="Q463" i="31"/>
  <c r="Q546" i="31"/>
  <c r="N547" i="31"/>
  <c r="N464" i="31"/>
  <c r="U544" i="31"/>
  <c r="U461" i="31"/>
  <c r="U546" i="31"/>
  <c r="U463" i="31"/>
  <c r="U464" i="31"/>
  <c r="U547" i="31"/>
  <c r="U545" i="31"/>
  <c r="U462" i="31"/>
  <c r="J537" i="31"/>
  <c r="J454" i="31"/>
  <c r="J539" i="31"/>
  <c r="J456" i="31"/>
  <c r="J541" i="31"/>
  <c r="J458" i="31"/>
  <c r="J543" i="31"/>
  <c r="J460" i="31"/>
  <c r="J540" i="31"/>
  <c r="J457" i="31"/>
  <c r="J538" i="31"/>
  <c r="J455" i="31"/>
  <c r="T460" i="31"/>
  <c r="L539" i="31"/>
  <c r="L548" i="31"/>
  <c r="K539" i="31"/>
  <c r="O455" i="31"/>
  <c r="S456" i="31"/>
  <c r="S460" i="31"/>
  <c r="L457" i="31"/>
  <c r="L541" i="31"/>
  <c r="M457" i="31"/>
  <c r="S541" i="31"/>
  <c r="Q458" i="31"/>
  <c r="T541" i="31"/>
  <c r="R458" i="31"/>
  <c r="O536" i="31"/>
  <c r="P536" i="31"/>
  <c r="L453" i="31"/>
  <c r="P460" i="31"/>
  <c r="P538" i="31"/>
  <c r="R455" i="31"/>
  <c r="S455" i="31"/>
  <c r="T455" i="31"/>
  <c r="N457" i="31"/>
  <c r="N459" i="31"/>
  <c r="M465" i="31"/>
  <c r="O542" i="31"/>
  <c r="T453" i="31"/>
  <c r="P457" i="31"/>
  <c r="N465" i="31"/>
  <c r="L537" i="31"/>
  <c r="T539" i="31"/>
  <c r="P542" i="31"/>
  <c r="K455" i="31"/>
  <c r="O456" i="31"/>
  <c r="T457" i="31"/>
  <c r="P465" i="31"/>
  <c r="S537" i="31"/>
  <c r="O540" i="31"/>
  <c r="K543" i="31"/>
  <c r="O548" i="31"/>
  <c r="L455" i="31"/>
  <c r="P456" i="31"/>
  <c r="U457" i="31"/>
  <c r="T465" i="31"/>
  <c r="T537" i="31"/>
  <c r="L543" i="31"/>
  <c r="N455" i="31"/>
  <c r="Q456" i="31"/>
  <c r="K458" i="31"/>
  <c r="U465" i="31"/>
  <c r="U454" i="31"/>
  <c r="J465" i="31"/>
  <c r="R453" i="31"/>
  <c r="O454" i="31"/>
  <c r="M460" i="31"/>
  <c r="U460" i="31"/>
  <c r="Q536" i="31"/>
  <c r="M537" i="31"/>
  <c r="Q538" i="31"/>
  <c r="M539" i="31"/>
  <c r="U539" i="31"/>
  <c r="Q540" i="31"/>
  <c r="M541" i="31"/>
  <c r="U541" i="31"/>
  <c r="Q542" i="31"/>
  <c r="Q548" i="31"/>
  <c r="K453" i="31"/>
  <c r="S453" i="31"/>
  <c r="P454" i="31"/>
  <c r="M455" i="31"/>
  <c r="U455" i="31"/>
  <c r="R456" i="31"/>
  <c r="N460" i="31"/>
  <c r="J536" i="31"/>
  <c r="N537" i="31"/>
  <c r="N539" i="31"/>
  <c r="R540" i="31"/>
  <c r="N541" i="31"/>
  <c r="J542" i="31"/>
  <c r="R542" i="31"/>
  <c r="R548" i="31"/>
  <c r="O541" i="31"/>
  <c r="O543" i="31"/>
  <c r="S548" i="31"/>
  <c r="M453" i="31"/>
  <c r="U453" i="31"/>
  <c r="R454" i="31"/>
  <c r="K459" i="31"/>
  <c r="S459" i="31"/>
  <c r="P541" i="31"/>
  <c r="L542" i="31"/>
  <c r="T542" i="31"/>
  <c r="S540" i="31"/>
  <c r="K548" i="31"/>
  <c r="N453" i="31"/>
  <c r="Q460" i="31"/>
  <c r="Q537" i="31"/>
  <c r="M542" i="31"/>
  <c r="U542" i="31"/>
  <c r="K540" i="31"/>
  <c r="R460" i="31"/>
  <c r="Y294" i="31" l="1"/>
  <c r="Y290" i="31"/>
  <c r="Y276" i="31"/>
  <c r="Y262" i="31"/>
  <c r="Y248" i="31"/>
  <c r="Y242" i="31"/>
  <c r="AA134" i="31" l="1"/>
  <c r="AA133" i="31"/>
  <c r="AA132" i="31"/>
  <c r="AA131" i="31"/>
  <c r="AA130" i="31"/>
  <c r="AA129" i="31"/>
  <c r="AA128" i="31"/>
  <c r="AA127" i="31"/>
  <c r="AA126" i="31"/>
  <c r="AA125" i="31"/>
  <c r="AA124" i="31"/>
  <c r="AA123" i="31"/>
  <c r="AA122" i="31"/>
  <c r="AA118" i="31"/>
  <c r="AA117" i="31"/>
  <c r="AA116" i="31"/>
  <c r="AA115" i="31"/>
  <c r="AA114" i="31"/>
  <c r="AA113" i="31"/>
  <c r="AA112" i="31"/>
  <c r="AA111" i="31"/>
  <c r="AA110" i="31"/>
  <c r="AA109" i="31"/>
  <c r="AA108" i="31"/>
  <c r="AA107" i="31"/>
  <c r="AA106" i="31"/>
  <c r="AA105" i="31"/>
  <c r="AA104" i="31"/>
  <c r="AA103" i="31"/>
  <c r="AA102" i="31"/>
  <c r="AA101" i="31"/>
  <c r="AA100" i="31"/>
  <c r="AA99" i="31"/>
  <c r="AA98" i="31"/>
  <c r="AA97" i="31"/>
  <c r="AA96" i="31"/>
  <c r="AA95" i="31"/>
  <c r="AA94" i="31"/>
  <c r="AA93" i="31"/>
  <c r="AA92" i="31"/>
  <c r="AA91" i="31"/>
  <c r="AA90" i="31"/>
  <c r="AA89" i="31"/>
  <c r="AA88" i="31"/>
  <c r="AA87" i="31"/>
  <c r="AA86" i="31"/>
  <c r="AA85" i="31"/>
  <c r="AA84" i="31"/>
  <c r="AA83" i="31"/>
  <c r="AA147" i="31"/>
  <c r="AA146" i="31"/>
  <c r="AA145" i="31"/>
  <c r="AA144" i="31"/>
  <c r="AA143" i="31"/>
  <c r="AA142" i="31"/>
  <c r="AA141" i="31"/>
  <c r="AA140" i="31"/>
  <c r="AA139" i="31"/>
  <c r="AA138" i="31"/>
  <c r="AA137" i="31"/>
  <c r="AA136" i="31"/>
  <c r="AA135" i="31"/>
  <c r="AA121" i="31"/>
  <c r="AA120" i="31"/>
  <c r="AA119" i="31"/>
  <c r="AA42" i="31"/>
  <c r="AA51" i="31"/>
  <c r="AA50" i="31"/>
  <c r="AA49" i="31"/>
  <c r="AA48" i="31"/>
  <c r="AA47" i="31"/>
  <c r="AA46" i="31"/>
  <c r="AA45" i="31"/>
  <c r="AA44" i="31"/>
  <c r="AA43" i="31"/>
  <c r="AA41" i="31"/>
  <c r="V530" i="31"/>
  <c r="V529" i="31"/>
  <c r="V527" i="31"/>
  <c r="V526" i="31"/>
  <c r="V525" i="31"/>
  <c r="V523" i="31"/>
  <c r="V521" i="31"/>
  <c r="U530" i="31"/>
  <c r="T530" i="31"/>
  <c r="S530" i="31"/>
  <c r="R530" i="31"/>
  <c r="Q530" i="31"/>
  <c r="P530" i="31"/>
  <c r="O530" i="31"/>
  <c r="N530" i="31"/>
  <c r="M530" i="31"/>
  <c r="L530" i="31"/>
  <c r="K530" i="31"/>
  <c r="J530" i="31"/>
  <c r="U529" i="31"/>
  <c r="T529" i="31"/>
  <c r="S529" i="31"/>
  <c r="R529" i="31"/>
  <c r="Q529" i="31"/>
  <c r="P529" i="31"/>
  <c r="O529" i="31"/>
  <c r="N529" i="31"/>
  <c r="M529" i="31"/>
  <c r="L529" i="31"/>
  <c r="K529" i="31"/>
  <c r="J529" i="31"/>
  <c r="U528" i="31"/>
  <c r="T528" i="31"/>
  <c r="S528" i="31"/>
  <c r="R528" i="31"/>
  <c r="Q528" i="31"/>
  <c r="P528" i="31"/>
  <c r="O528" i="31"/>
  <c r="N528" i="31"/>
  <c r="M528" i="31"/>
  <c r="L528" i="31"/>
  <c r="K528" i="31"/>
  <c r="J528" i="31"/>
  <c r="V528" i="31" s="1"/>
  <c r="U527" i="31"/>
  <c r="T527" i="31"/>
  <c r="S527" i="31"/>
  <c r="R527" i="31"/>
  <c r="Q527" i="31"/>
  <c r="P527" i="31"/>
  <c r="O527" i="31"/>
  <c r="N527" i="31"/>
  <c r="M527" i="31"/>
  <c r="L527" i="31"/>
  <c r="K527" i="31"/>
  <c r="J527" i="31"/>
  <c r="U526" i="31"/>
  <c r="T526" i="31"/>
  <c r="S526" i="31"/>
  <c r="R526" i="31"/>
  <c r="Q526" i="31"/>
  <c r="P526" i="31"/>
  <c r="O526" i="31"/>
  <c r="N526" i="31"/>
  <c r="M526" i="31"/>
  <c r="L526" i="31"/>
  <c r="K526" i="31"/>
  <c r="J526" i="31"/>
  <c r="U525" i="31"/>
  <c r="T525" i="31"/>
  <c r="S525" i="31"/>
  <c r="R525" i="31"/>
  <c r="Q525" i="31"/>
  <c r="P525" i="31"/>
  <c r="O525" i="31"/>
  <c r="N525" i="31"/>
  <c r="M525" i="31"/>
  <c r="L525" i="31"/>
  <c r="K525" i="31"/>
  <c r="J525" i="31"/>
  <c r="U524" i="31"/>
  <c r="T524" i="31"/>
  <c r="S524" i="31"/>
  <c r="R524" i="31"/>
  <c r="Q524" i="31"/>
  <c r="P524" i="31"/>
  <c r="O524" i="31"/>
  <c r="N524" i="31"/>
  <c r="M524" i="31"/>
  <c r="L524" i="31"/>
  <c r="K524" i="31"/>
  <c r="J524" i="31"/>
  <c r="V524" i="31" s="1"/>
  <c r="U523" i="31"/>
  <c r="T523" i="31"/>
  <c r="S523" i="31"/>
  <c r="R523" i="31"/>
  <c r="Q523" i="31"/>
  <c r="P523" i="31"/>
  <c r="O523" i="31"/>
  <c r="N523" i="31"/>
  <c r="M523" i="31"/>
  <c r="L523" i="31"/>
  <c r="K523" i="31"/>
  <c r="J523" i="31"/>
  <c r="U522" i="31"/>
  <c r="T522" i="31"/>
  <c r="S522" i="31"/>
  <c r="R522" i="31"/>
  <c r="Q522" i="31"/>
  <c r="P522" i="31"/>
  <c r="O522" i="31"/>
  <c r="N522" i="31"/>
  <c r="M522" i="31"/>
  <c r="L522" i="31"/>
  <c r="K522" i="31"/>
  <c r="J522" i="31"/>
  <c r="V522" i="31" s="1"/>
  <c r="U521" i="31"/>
  <c r="T521" i="31"/>
  <c r="S521" i="31"/>
  <c r="R521" i="31"/>
  <c r="Q521" i="31"/>
  <c r="P521" i="31"/>
  <c r="O521" i="31"/>
  <c r="N521" i="31"/>
  <c r="M521" i="31"/>
  <c r="L521" i="31"/>
  <c r="K521" i="31"/>
  <c r="J521" i="31"/>
  <c r="U520" i="31"/>
  <c r="T520" i="31"/>
  <c r="S520" i="31"/>
  <c r="R520" i="31"/>
  <c r="Q520" i="31"/>
  <c r="P520" i="31"/>
  <c r="O520" i="31"/>
  <c r="N520" i="31"/>
  <c r="M520" i="31"/>
  <c r="L520" i="31"/>
  <c r="K520" i="31"/>
  <c r="U519" i="31"/>
  <c r="T519" i="31"/>
  <c r="S519" i="31"/>
  <c r="R519" i="31"/>
  <c r="Q519" i="31"/>
  <c r="P519" i="31"/>
  <c r="O519" i="31"/>
  <c r="V519" i="31" s="1"/>
  <c r="N519" i="31"/>
  <c r="M519" i="31"/>
  <c r="L519" i="31"/>
  <c r="K519" i="31"/>
  <c r="J519" i="31"/>
  <c r="F519" i="31"/>
  <c r="I519" i="31"/>
  <c r="F520" i="31"/>
  <c r="I520" i="31"/>
  <c r="F522" i="31"/>
  <c r="G522" i="31"/>
  <c r="H522" i="31"/>
  <c r="I522" i="31"/>
  <c r="F524" i="31"/>
  <c r="G524" i="31"/>
  <c r="H524" i="31"/>
  <c r="I524" i="31"/>
  <c r="F528" i="31"/>
  <c r="G528" i="31"/>
  <c r="H528" i="31"/>
  <c r="I528" i="31"/>
  <c r="F438" i="31"/>
  <c r="I438" i="31"/>
  <c r="I439" i="31" s="1"/>
  <c r="F439" i="31"/>
  <c r="F441" i="31"/>
  <c r="G441" i="31"/>
  <c r="H441" i="31"/>
  <c r="I441" i="31"/>
  <c r="F443" i="31"/>
  <c r="G443" i="31"/>
  <c r="H443" i="31"/>
  <c r="I443" i="31"/>
  <c r="F447" i="31"/>
  <c r="G447" i="31"/>
  <c r="H447" i="31"/>
  <c r="I447" i="31"/>
  <c r="F361" i="31"/>
  <c r="I361" i="31"/>
  <c r="I362" i="31" s="1"/>
  <c r="J520" i="31"/>
  <c r="F362" i="31"/>
  <c r="F364" i="31"/>
  <c r="G364" i="31"/>
  <c r="H364" i="31"/>
  <c r="I364" i="31"/>
  <c r="F366" i="31"/>
  <c r="G366" i="31"/>
  <c r="H366" i="31"/>
  <c r="I366" i="31"/>
  <c r="F370" i="31"/>
  <c r="G370" i="31"/>
  <c r="H370" i="31"/>
  <c r="I370" i="31"/>
  <c r="I287" i="31"/>
  <c r="H287" i="31"/>
  <c r="G287" i="31"/>
  <c r="F287" i="31"/>
  <c r="F278" i="31"/>
  <c r="F279" i="31" s="1"/>
  <c r="I278" i="31"/>
  <c r="I279" i="31" s="1"/>
  <c r="F281" i="31"/>
  <c r="G281" i="31"/>
  <c r="H281" i="31"/>
  <c r="I281" i="31"/>
  <c r="F283" i="31"/>
  <c r="G283" i="31"/>
  <c r="H283" i="31"/>
  <c r="I283" i="31"/>
  <c r="F197" i="31"/>
  <c r="F198" i="31" s="1"/>
  <c r="I197" i="31"/>
  <c r="I198" i="31" s="1"/>
  <c r="F200" i="31"/>
  <c r="G200" i="31"/>
  <c r="H200" i="31"/>
  <c r="I200" i="31"/>
  <c r="F202" i="31"/>
  <c r="G202" i="31"/>
  <c r="H202" i="31"/>
  <c r="I202" i="31"/>
  <c r="F206" i="31"/>
  <c r="G206" i="31"/>
  <c r="H206" i="31"/>
  <c r="I206" i="31"/>
  <c r="I129" i="31"/>
  <c r="F129" i="31"/>
  <c r="I125" i="31"/>
  <c r="F125" i="31"/>
  <c r="I123" i="31"/>
  <c r="F123" i="31"/>
  <c r="I120" i="31"/>
  <c r="I121" i="31" s="1"/>
  <c r="F120" i="31"/>
  <c r="F121" i="31" s="1"/>
  <c r="V51" i="31"/>
  <c r="V47" i="31"/>
  <c r="I51" i="31"/>
  <c r="I47" i="31"/>
  <c r="F51" i="31"/>
  <c r="F47" i="31"/>
  <c r="V45" i="31"/>
  <c r="I45" i="31"/>
  <c r="F45" i="31"/>
  <c r="I42" i="31"/>
  <c r="I43" i="31" s="1"/>
  <c r="F42" i="31"/>
  <c r="F43" i="31" s="1"/>
  <c r="V43" i="31"/>
  <c r="V42" i="31"/>
  <c r="AA14" i="31"/>
  <c r="AA13" i="31"/>
  <c r="AA12" i="31"/>
  <c r="AA11" i="31"/>
  <c r="AA10" i="31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77" i="31"/>
  <c r="AA76" i="31"/>
  <c r="AA75" i="31"/>
  <c r="AA74" i="31"/>
  <c r="AA73" i="31"/>
  <c r="AA72" i="31"/>
  <c r="AA71" i="31"/>
  <c r="AA70" i="31"/>
  <c r="AA69" i="31"/>
  <c r="AA68" i="31"/>
  <c r="AA67" i="31"/>
  <c r="AA66" i="31"/>
  <c r="AA65" i="31"/>
  <c r="AA64" i="31"/>
  <c r="AA63" i="31"/>
  <c r="AA62" i="31"/>
  <c r="AA61" i="31"/>
  <c r="AA60" i="31"/>
  <c r="AA59" i="31"/>
  <c r="AA58" i="31"/>
  <c r="AA57" i="31"/>
  <c r="AA56" i="31"/>
  <c r="AA55" i="31"/>
  <c r="AA54" i="31"/>
  <c r="AA53" i="31"/>
  <c r="AA52" i="31"/>
  <c r="AA27" i="31"/>
  <c r="AA26" i="31"/>
  <c r="AA25" i="31"/>
  <c r="AA24" i="31"/>
  <c r="AA23" i="31"/>
  <c r="AA22" i="31"/>
  <c r="AA21" i="31"/>
  <c r="AA20" i="31"/>
  <c r="AA19" i="31"/>
  <c r="AA18" i="31"/>
  <c r="AA17" i="31"/>
  <c r="AA16" i="31"/>
  <c r="AA15" i="31"/>
  <c r="AA9" i="31"/>
  <c r="AA8" i="31"/>
  <c r="AA7" i="31"/>
  <c r="AA6" i="31"/>
  <c r="AA5" i="31"/>
  <c r="I50" i="10"/>
  <c r="P44" i="17"/>
  <c r="P43" i="17"/>
  <c r="P56" i="25"/>
  <c r="R193" i="3"/>
  <c r="R192" i="3"/>
  <c r="R190" i="3"/>
  <c r="R189" i="3"/>
  <c r="R185" i="3"/>
  <c r="R184" i="3"/>
  <c r="R180" i="3"/>
  <c r="R181" i="3" s="1"/>
  <c r="R177" i="3"/>
  <c r="R176" i="3"/>
  <c r="R171" i="3"/>
  <c r="R170" i="3"/>
  <c r="R162" i="3"/>
  <c r="R161" i="3"/>
  <c r="R151" i="3"/>
  <c r="R150" i="3"/>
  <c r="R141" i="3"/>
  <c r="R142" i="3" s="1"/>
  <c r="R132" i="3"/>
  <c r="R133" i="3" s="1"/>
  <c r="R124" i="3"/>
  <c r="R123" i="3"/>
  <c r="R116" i="3"/>
  <c r="R115" i="3"/>
  <c r="R112" i="3"/>
  <c r="R111" i="3"/>
  <c r="R107" i="3"/>
  <c r="R106" i="3"/>
  <c r="R103" i="3"/>
  <c r="R102" i="3"/>
  <c r="R88" i="3"/>
  <c r="R87" i="3"/>
  <c r="R82" i="3"/>
  <c r="R83" i="3" s="1"/>
  <c r="R77" i="3"/>
  <c r="R78" i="3" s="1"/>
  <c r="R73" i="3"/>
  <c r="R72" i="3"/>
  <c r="R62" i="3"/>
  <c r="R63" i="3" s="1"/>
  <c r="R46" i="3"/>
  <c r="R45" i="3"/>
  <c r="R36" i="3"/>
  <c r="R35" i="3"/>
  <c r="R33" i="3"/>
  <c r="R32" i="3"/>
  <c r="R28" i="3"/>
  <c r="R27" i="3"/>
  <c r="R24" i="3"/>
  <c r="R23" i="3"/>
  <c r="R21" i="3"/>
  <c r="R20" i="3"/>
  <c r="R12" i="3"/>
  <c r="R11" i="3"/>
  <c r="R4" i="3"/>
  <c r="R3" i="3"/>
  <c r="J14" i="29"/>
  <c r="I14" i="29"/>
  <c r="H14" i="29"/>
  <c r="G14" i="29"/>
  <c r="F14" i="29"/>
  <c r="C192" i="3"/>
  <c r="D192" i="3"/>
  <c r="E192" i="3"/>
  <c r="F192" i="3"/>
  <c r="G192" i="3"/>
  <c r="H192" i="3"/>
  <c r="I192" i="3"/>
  <c r="J192" i="3"/>
  <c r="K192" i="3"/>
  <c r="L192" i="3"/>
  <c r="M192" i="3"/>
  <c r="C189" i="3"/>
  <c r="D189" i="3"/>
  <c r="E189" i="3"/>
  <c r="F189" i="3"/>
  <c r="G189" i="3"/>
  <c r="H189" i="3"/>
  <c r="I189" i="3"/>
  <c r="J189" i="3"/>
  <c r="K189" i="3"/>
  <c r="L189" i="3"/>
  <c r="M189" i="3"/>
  <c r="B189" i="3"/>
  <c r="C184" i="3"/>
  <c r="D184" i="3"/>
  <c r="E184" i="3"/>
  <c r="F184" i="3"/>
  <c r="G184" i="3"/>
  <c r="H184" i="3"/>
  <c r="I184" i="3"/>
  <c r="J184" i="3"/>
  <c r="K184" i="3"/>
  <c r="L184" i="3"/>
  <c r="M184" i="3"/>
  <c r="C180" i="3"/>
  <c r="D180" i="3"/>
  <c r="E180" i="3"/>
  <c r="F180" i="3"/>
  <c r="G180" i="3"/>
  <c r="H180" i="3"/>
  <c r="I180" i="3"/>
  <c r="J180" i="3"/>
  <c r="K180" i="3"/>
  <c r="L180" i="3"/>
  <c r="M180" i="3"/>
  <c r="C176" i="3"/>
  <c r="D176" i="3"/>
  <c r="E176" i="3"/>
  <c r="F176" i="3"/>
  <c r="G176" i="3"/>
  <c r="H176" i="3"/>
  <c r="I176" i="3"/>
  <c r="J176" i="3"/>
  <c r="K176" i="3"/>
  <c r="L176" i="3"/>
  <c r="M176" i="3"/>
  <c r="C170" i="3"/>
  <c r="D170" i="3"/>
  <c r="E170" i="3"/>
  <c r="F170" i="3"/>
  <c r="G170" i="3"/>
  <c r="H170" i="3"/>
  <c r="I170" i="3"/>
  <c r="J170" i="3"/>
  <c r="K170" i="3"/>
  <c r="L170" i="3"/>
  <c r="M170" i="3"/>
  <c r="C161" i="3"/>
  <c r="D161" i="3"/>
  <c r="E161" i="3"/>
  <c r="F161" i="3"/>
  <c r="G161" i="3"/>
  <c r="H161" i="3"/>
  <c r="I161" i="3"/>
  <c r="J161" i="3"/>
  <c r="K161" i="3"/>
  <c r="L161" i="3"/>
  <c r="M161" i="3"/>
  <c r="C150" i="3"/>
  <c r="D150" i="3"/>
  <c r="E150" i="3"/>
  <c r="F150" i="3"/>
  <c r="G150" i="3"/>
  <c r="H150" i="3"/>
  <c r="I150" i="3"/>
  <c r="J150" i="3"/>
  <c r="K150" i="3"/>
  <c r="L150" i="3"/>
  <c r="M150" i="3"/>
  <c r="C141" i="3"/>
  <c r="D141" i="3"/>
  <c r="E141" i="3"/>
  <c r="F141" i="3"/>
  <c r="G141" i="3"/>
  <c r="H141" i="3"/>
  <c r="I141" i="3"/>
  <c r="J141" i="3"/>
  <c r="K141" i="3"/>
  <c r="L141" i="3"/>
  <c r="M141" i="3"/>
  <c r="C123" i="3"/>
  <c r="D123" i="3"/>
  <c r="E123" i="3"/>
  <c r="F123" i="3"/>
  <c r="G123" i="3"/>
  <c r="H123" i="3"/>
  <c r="I123" i="3"/>
  <c r="J123" i="3"/>
  <c r="K123" i="3"/>
  <c r="L123" i="3"/>
  <c r="M123" i="3"/>
  <c r="C115" i="3"/>
  <c r="D115" i="3"/>
  <c r="E115" i="3"/>
  <c r="F115" i="3"/>
  <c r="G115" i="3"/>
  <c r="H115" i="3"/>
  <c r="I115" i="3"/>
  <c r="J115" i="3"/>
  <c r="K115" i="3"/>
  <c r="L115" i="3"/>
  <c r="M115" i="3"/>
  <c r="B115" i="3"/>
  <c r="C111" i="3"/>
  <c r="D111" i="3"/>
  <c r="E111" i="3"/>
  <c r="F111" i="3"/>
  <c r="G111" i="3"/>
  <c r="H111" i="3"/>
  <c r="I111" i="3"/>
  <c r="J111" i="3"/>
  <c r="K111" i="3"/>
  <c r="L111" i="3"/>
  <c r="M111" i="3"/>
  <c r="C106" i="3"/>
  <c r="D106" i="3"/>
  <c r="E106" i="3"/>
  <c r="F106" i="3"/>
  <c r="G106" i="3"/>
  <c r="H106" i="3"/>
  <c r="I106" i="3"/>
  <c r="J106" i="3"/>
  <c r="K106" i="3"/>
  <c r="L106" i="3"/>
  <c r="M106" i="3"/>
  <c r="C102" i="3"/>
  <c r="D102" i="3"/>
  <c r="E102" i="3"/>
  <c r="F102" i="3"/>
  <c r="G102" i="3"/>
  <c r="H102" i="3"/>
  <c r="I102" i="3"/>
  <c r="J102" i="3"/>
  <c r="K102" i="3"/>
  <c r="L102" i="3"/>
  <c r="M102" i="3"/>
  <c r="C27" i="3"/>
  <c r="D27" i="3"/>
  <c r="E27" i="3"/>
  <c r="F27" i="3"/>
  <c r="G27" i="3"/>
  <c r="H27" i="3"/>
  <c r="I27" i="3"/>
  <c r="J27" i="3"/>
  <c r="K27" i="3"/>
  <c r="L27" i="3"/>
  <c r="M27" i="3"/>
  <c r="B27" i="3"/>
  <c r="AQ41" i="19"/>
  <c r="AR41" i="19"/>
  <c r="AS41" i="19"/>
  <c r="AQ42" i="19"/>
  <c r="AR42" i="19"/>
  <c r="AS42" i="19"/>
  <c r="AQ43" i="19"/>
  <c r="AR43" i="19"/>
  <c r="AS43" i="19"/>
  <c r="AQ44" i="19"/>
  <c r="AR44" i="19"/>
  <c r="AS44" i="19"/>
  <c r="AQ45" i="19"/>
  <c r="AR45" i="19"/>
  <c r="AS45" i="19"/>
  <c r="AQ46" i="19"/>
  <c r="AR46" i="19"/>
  <c r="AS46" i="19"/>
  <c r="AQ40" i="19"/>
  <c r="AR40" i="19"/>
  <c r="AS40" i="19"/>
  <c r="AP41" i="19"/>
  <c r="AP42" i="19"/>
  <c r="AP43" i="19"/>
  <c r="AP44" i="19"/>
  <c r="AP45" i="19"/>
  <c r="AP46" i="19"/>
  <c r="AP40" i="19"/>
  <c r="V520" i="31" l="1"/>
  <c r="L100" i="33"/>
  <c r="F100" i="33"/>
  <c r="G100" i="33" s="1"/>
  <c r="F101" i="33"/>
  <c r="G101" i="33" s="1"/>
  <c r="E5" i="25"/>
  <c r="F5" i="25"/>
  <c r="G5" i="25"/>
  <c r="H5" i="25"/>
  <c r="I5" i="25"/>
  <c r="J5" i="25"/>
  <c r="K5" i="25"/>
  <c r="L5" i="25"/>
  <c r="M5" i="25"/>
  <c r="N5" i="25"/>
  <c r="O5" i="25"/>
  <c r="D5" i="25"/>
  <c r="C163" i="3"/>
  <c r="D163" i="3"/>
  <c r="E163" i="3"/>
  <c r="F163" i="3"/>
  <c r="G163" i="3"/>
  <c r="H163" i="3"/>
  <c r="I163" i="3"/>
  <c r="J163" i="3"/>
  <c r="K163" i="3"/>
  <c r="L163" i="3"/>
  <c r="M163" i="3"/>
  <c r="B163" i="3"/>
  <c r="K30" i="19"/>
  <c r="K31" i="19"/>
  <c r="K32" i="19"/>
  <c r="K29" i="19"/>
  <c r="C125" i="3"/>
  <c r="D125" i="3"/>
  <c r="E125" i="3"/>
  <c r="F125" i="3"/>
  <c r="G125" i="3"/>
  <c r="H125" i="3"/>
  <c r="I125" i="3"/>
  <c r="J125" i="3"/>
  <c r="K125" i="3"/>
  <c r="L125" i="3"/>
  <c r="M125" i="3"/>
  <c r="B125" i="3"/>
  <c r="C143" i="3"/>
  <c r="D143" i="3"/>
  <c r="E143" i="3"/>
  <c r="F143" i="3"/>
  <c r="G143" i="3"/>
  <c r="H143" i="3"/>
  <c r="I143" i="3"/>
  <c r="J143" i="3"/>
  <c r="K143" i="3"/>
  <c r="L143" i="3"/>
  <c r="M143" i="3"/>
  <c r="B143" i="3"/>
  <c r="B119" i="3"/>
  <c r="C69" i="3"/>
  <c r="D69" i="3"/>
  <c r="E69" i="3"/>
  <c r="F69" i="3"/>
  <c r="G69" i="3"/>
  <c r="H69" i="3"/>
  <c r="I69" i="3"/>
  <c r="J69" i="3"/>
  <c r="K69" i="3"/>
  <c r="L69" i="3"/>
  <c r="M69" i="3"/>
  <c r="B69" i="3"/>
  <c r="C60" i="3"/>
  <c r="D60" i="3"/>
  <c r="E60" i="3"/>
  <c r="F60" i="3"/>
  <c r="G60" i="3"/>
  <c r="H60" i="3"/>
  <c r="I60" i="3"/>
  <c r="J60" i="3"/>
  <c r="K60" i="3"/>
  <c r="L60" i="3"/>
  <c r="M60" i="3"/>
  <c r="B60" i="3"/>
  <c r="C51" i="3"/>
  <c r="D51" i="3"/>
  <c r="E51" i="3"/>
  <c r="F51" i="3"/>
  <c r="G51" i="3"/>
  <c r="J51" i="3"/>
  <c r="K51" i="3"/>
  <c r="L51" i="3"/>
  <c r="M51" i="3"/>
  <c r="B51" i="3"/>
  <c r="C46" i="3"/>
  <c r="D46" i="3"/>
  <c r="E46" i="3"/>
  <c r="F46" i="3"/>
  <c r="G46" i="3"/>
  <c r="H46" i="3"/>
  <c r="I46" i="3"/>
  <c r="J46" i="3"/>
  <c r="K46" i="3"/>
  <c r="L46" i="3"/>
  <c r="M46" i="3"/>
  <c r="B46" i="3"/>
  <c r="K106" i="27"/>
  <c r="K105" i="27"/>
  <c r="K104" i="27"/>
  <c r="K103" i="27"/>
  <c r="K102" i="27"/>
  <c r="K107" i="27" s="1"/>
  <c r="E46" i="15"/>
  <c r="F46" i="15"/>
  <c r="P46" i="15"/>
  <c r="Q46" i="15"/>
  <c r="Q51" i="15"/>
  <c r="J51" i="15"/>
  <c r="D42" i="23"/>
  <c r="M101" i="33" l="1"/>
  <c r="J101" i="33"/>
  <c r="K101" i="33" s="1"/>
  <c r="M100" i="33"/>
  <c r="N100" i="33" s="1"/>
  <c r="J100" i="33"/>
  <c r="K100" i="33" s="1"/>
  <c r="P100" i="33" l="1"/>
  <c r="N101" i="33"/>
  <c r="P101" i="33"/>
  <c r="Q47" i="15"/>
  <c r="H47" i="15"/>
  <c r="J49" i="15"/>
  <c r="F48" i="15"/>
  <c r="F50" i="15"/>
  <c r="G17" i="15" l="1"/>
  <c r="H17" i="15"/>
  <c r="C78" i="3"/>
  <c r="D78" i="3"/>
  <c r="E78" i="3"/>
  <c r="F78" i="3"/>
  <c r="G78" i="3"/>
  <c r="H78" i="3"/>
  <c r="I78" i="3"/>
  <c r="J78" i="3"/>
  <c r="K78" i="3"/>
  <c r="L78" i="3"/>
  <c r="M78" i="3"/>
  <c r="B78" i="3"/>
  <c r="H55" i="10"/>
  <c r="H56" i="10"/>
  <c r="M56" i="10"/>
  <c r="S56" i="10"/>
  <c r="R56" i="10"/>
  <c r="R55" i="10"/>
  <c r="R54" i="10"/>
  <c r="Q54" i="10"/>
  <c r="P54" i="10"/>
  <c r="O54" i="10"/>
  <c r="N54" i="10"/>
  <c r="L54" i="10"/>
  <c r="K54" i="10"/>
  <c r="J54" i="10"/>
  <c r="I54" i="10"/>
  <c r="H54" i="10"/>
  <c r="S52" i="10"/>
  <c r="R52" i="10"/>
  <c r="Q52" i="10"/>
  <c r="P52" i="10"/>
  <c r="O52" i="10"/>
  <c r="N52" i="10"/>
  <c r="M52" i="10"/>
  <c r="L52" i="10"/>
  <c r="K52" i="10"/>
  <c r="J52" i="10"/>
  <c r="H52" i="10"/>
  <c r="I52" i="10"/>
  <c r="H51" i="10"/>
  <c r="I51" i="10"/>
  <c r="H50" i="10"/>
  <c r="J51" i="10"/>
  <c r="J50" i="10"/>
  <c r="K51" i="10"/>
  <c r="L51" i="10"/>
  <c r="M51" i="10"/>
  <c r="N51" i="10"/>
  <c r="O51" i="10"/>
  <c r="P51" i="10"/>
  <c r="Q51" i="10"/>
  <c r="R51" i="10"/>
  <c r="S51" i="10"/>
  <c r="S50" i="10"/>
  <c r="Q50" i="10"/>
  <c r="O50" i="10"/>
  <c r="K50" i="10"/>
  <c r="O46" i="10"/>
  <c r="N46" i="10"/>
  <c r="M46" i="10"/>
  <c r="L46" i="10"/>
  <c r="K46" i="10"/>
  <c r="J46" i="10"/>
  <c r="I53" i="10"/>
  <c r="J53" i="10"/>
  <c r="K53" i="10"/>
  <c r="L53" i="10"/>
  <c r="M53" i="10"/>
  <c r="N53" i="10"/>
  <c r="O53" i="10"/>
  <c r="P53" i="10"/>
  <c r="Q53" i="10"/>
  <c r="R53" i="10"/>
  <c r="S53" i="10"/>
  <c r="H53" i="10"/>
  <c r="I49" i="10"/>
  <c r="J49" i="10"/>
  <c r="K49" i="10"/>
  <c r="L49" i="10"/>
  <c r="M49" i="10"/>
  <c r="N49" i="10"/>
  <c r="O49" i="10"/>
  <c r="P49" i="10"/>
  <c r="Q49" i="10"/>
  <c r="R49" i="10"/>
  <c r="S49" i="10"/>
  <c r="H49" i="10"/>
  <c r="I45" i="10"/>
  <c r="J45" i="10"/>
  <c r="K45" i="10"/>
  <c r="L45" i="10"/>
  <c r="M45" i="10"/>
  <c r="N45" i="10"/>
  <c r="O45" i="10"/>
  <c r="P45" i="10"/>
  <c r="Q45" i="10"/>
  <c r="R45" i="10"/>
  <c r="S45" i="10"/>
  <c r="H45" i="10"/>
  <c r="E10" i="17"/>
  <c r="F10" i="17"/>
  <c r="G10" i="17"/>
  <c r="H10" i="17"/>
  <c r="H7" i="17" s="1"/>
  <c r="I10" i="17"/>
  <c r="I7" i="17" s="1"/>
  <c r="K10" i="17"/>
  <c r="L10" i="17"/>
  <c r="M10" i="17"/>
  <c r="N10" i="17"/>
  <c r="N7" i="17" s="1"/>
  <c r="O10" i="17"/>
  <c r="P10" i="17"/>
  <c r="J10" i="17"/>
  <c r="J7" i="17" s="1"/>
  <c r="P7" i="17"/>
  <c r="P45" i="17"/>
  <c r="F7" i="17"/>
  <c r="G7" i="17"/>
  <c r="K7" i="17"/>
  <c r="L7" i="17"/>
  <c r="M7" i="17"/>
  <c r="O7" i="17"/>
  <c r="E7" i="17"/>
  <c r="P11" i="17"/>
  <c r="F9" i="17"/>
  <c r="G9" i="17"/>
  <c r="H9" i="17"/>
  <c r="I9" i="17"/>
  <c r="J9" i="17"/>
  <c r="K9" i="17"/>
  <c r="L9" i="17"/>
  <c r="M9" i="17"/>
  <c r="N9" i="17"/>
  <c r="O9" i="17"/>
  <c r="P9" i="17"/>
  <c r="E9" i="17"/>
  <c r="N50" i="10"/>
  <c r="R50" i="10"/>
  <c r="P50" i="10"/>
  <c r="M50" i="10"/>
  <c r="L50" i="10"/>
  <c r="AC43" i="25"/>
  <c r="AC28" i="25" l="1"/>
  <c r="I99" i="33"/>
  <c r="F99" i="33"/>
  <c r="G99" i="33" s="1"/>
  <c r="I98" i="33"/>
  <c r="F98" i="33"/>
  <c r="G98" i="33" s="1"/>
  <c r="I97" i="33"/>
  <c r="F97" i="33"/>
  <c r="G97" i="33" s="1"/>
  <c r="I96" i="33"/>
  <c r="F96" i="33"/>
  <c r="G96" i="33" s="1"/>
  <c r="I95" i="33"/>
  <c r="F95" i="33"/>
  <c r="G95" i="33" s="1"/>
  <c r="I94" i="33"/>
  <c r="F94" i="33"/>
  <c r="G94" i="33" s="1"/>
  <c r="I93" i="33"/>
  <c r="F93" i="33"/>
  <c r="G93" i="33" s="1"/>
  <c r="I92" i="33"/>
  <c r="F92" i="33"/>
  <c r="G92" i="33" s="1"/>
  <c r="J92" i="33" s="1"/>
  <c r="K92" i="33" s="1"/>
  <c r="I91" i="33"/>
  <c r="F91" i="33"/>
  <c r="G91" i="33" s="1"/>
  <c r="I90" i="33"/>
  <c r="F90" i="33"/>
  <c r="G90" i="33" s="1"/>
  <c r="I89" i="33"/>
  <c r="F89" i="33"/>
  <c r="G89" i="33" s="1"/>
  <c r="I88" i="33"/>
  <c r="F88" i="33"/>
  <c r="G88" i="33" s="1"/>
  <c r="I87" i="33"/>
  <c r="F87" i="33"/>
  <c r="G87" i="33" s="1"/>
  <c r="I86" i="33"/>
  <c r="F86" i="33"/>
  <c r="G86" i="33" s="1"/>
  <c r="I85" i="33"/>
  <c r="F85" i="33"/>
  <c r="G85" i="33" s="1"/>
  <c r="I84" i="33"/>
  <c r="F84" i="33"/>
  <c r="G84" i="33" s="1"/>
  <c r="I83" i="33"/>
  <c r="F83" i="33"/>
  <c r="G83" i="33" s="1"/>
  <c r="I82" i="33"/>
  <c r="F82" i="33"/>
  <c r="G82" i="33" s="1"/>
  <c r="I81" i="33"/>
  <c r="F81" i="33"/>
  <c r="G81" i="33" s="1"/>
  <c r="I80" i="33"/>
  <c r="F80" i="33"/>
  <c r="G80" i="33" s="1"/>
  <c r="J80" i="33" s="1"/>
  <c r="K80" i="33" s="1"/>
  <c r="I79" i="33"/>
  <c r="F79" i="33"/>
  <c r="G79" i="33" s="1"/>
  <c r="I78" i="33"/>
  <c r="F78" i="33"/>
  <c r="G78" i="33" s="1"/>
  <c r="I77" i="33"/>
  <c r="F77" i="33"/>
  <c r="G77" i="33" s="1"/>
  <c r="I76" i="33"/>
  <c r="F76" i="33"/>
  <c r="G76" i="33" s="1"/>
  <c r="I75" i="33"/>
  <c r="F75" i="33"/>
  <c r="G75" i="33" s="1"/>
  <c r="I74" i="33"/>
  <c r="F74" i="33"/>
  <c r="G74" i="33" s="1"/>
  <c r="I73" i="33"/>
  <c r="F73" i="33"/>
  <c r="G73" i="33" s="1"/>
  <c r="I72" i="33"/>
  <c r="F72" i="33"/>
  <c r="G72" i="33" s="1"/>
  <c r="J72" i="33" s="1"/>
  <c r="K72" i="33" s="1"/>
  <c r="I71" i="33"/>
  <c r="F71" i="33"/>
  <c r="G71" i="33" s="1"/>
  <c r="M71" i="33" s="1"/>
  <c r="I70" i="33"/>
  <c r="F70" i="33"/>
  <c r="G70" i="33" s="1"/>
  <c r="I69" i="33"/>
  <c r="F69" i="33"/>
  <c r="G69" i="33" s="1"/>
  <c r="I68" i="33"/>
  <c r="F68" i="33"/>
  <c r="G68" i="33" s="1"/>
  <c r="J68" i="33" s="1"/>
  <c r="K68" i="33" s="1"/>
  <c r="I67" i="33"/>
  <c r="F67" i="33"/>
  <c r="G67" i="33" s="1"/>
  <c r="M67" i="33" s="1"/>
  <c r="I66" i="33"/>
  <c r="F66" i="33"/>
  <c r="G66" i="33" s="1"/>
  <c r="I65" i="33"/>
  <c r="F65" i="33"/>
  <c r="G65" i="33" s="1"/>
  <c r="I64" i="33"/>
  <c r="F64" i="33"/>
  <c r="G64" i="33" s="1"/>
  <c r="I63" i="33"/>
  <c r="F63" i="33"/>
  <c r="G63" i="33" s="1"/>
  <c r="M63" i="33" s="1"/>
  <c r="I62" i="33"/>
  <c r="F62" i="33"/>
  <c r="G62" i="33" s="1"/>
  <c r="I61" i="33"/>
  <c r="F61" i="33"/>
  <c r="G61" i="33" s="1"/>
  <c r="I60" i="33"/>
  <c r="F60" i="33"/>
  <c r="G60" i="33" s="1"/>
  <c r="I59" i="33"/>
  <c r="F59" i="33"/>
  <c r="G59" i="33" s="1"/>
  <c r="M59" i="33" s="1"/>
  <c r="I58" i="33"/>
  <c r="F58" i="33"/>
  <c r="G58" i="33" s="1"/>
  <c r="I57" i="33"/>
  <c r="F57" i="33"/>
  <c r="G57" i="33" s="1"/>
  <c r="I56" i="33"/>
  <c r="F56" i="33"/>
  <c r="G56" i="33" s="1"/>
  <c r="I55" i="33"/>
  <c r="F55" i="33"/>
  <c r="G55" i="33" s="1"/>
  <c r="M55" i="33" s="1"/>
  <c r="I54" i="33"/>
  <c r="F54" i="33"/>
  <c r="G54" i="33" s="1"/>
  <c r="I53" i="33"/>
  <c r="F53" i="33"/>
  <c r="G53" i="33" s="1"/>
  <c r="I52" i="33"/>
  <c r="F52" i="33"/>
  <c r="G52" i="33" s="1"/>
  <c r="I51" i="33"/>
  <c r="F51" i="33"/>
  <c r="G51" i="33" s="1"/>
  <c r="M51" i="33" s="1"/>
  <c r="I50" i="33"/>
  <c r="F50" i="33"/>
  <c r="G50" i="33" s="1"/>
  <c r="I49" i="33"/>
  <c r="F49" i="33"/>
  <c r="G49" i="33" s="1"/>
  <c r="I48" i="33"/>
  <c r="F48" i="33"/>
  <c r="G48" i="33" s="1"/>
  <c r="I47" i="33"/>
  <c r="F47" i="33"/>
  <c r="G47" i="33" s="1"/>
  <c r="I46" i="33"/>
  <c r="F46" i="33"/>
  <c r="G46" i="33" s="1"/>
  <c r="I45" i="33"/>
  <c r="F45" i="33"/>
  <c r="G45" i="33" s="1"/>
  <c r="I44" i="33"/>
  <c r="F44" i="33"/>
  <c r="G44" i="33" s="1"/>
  <c r="M44" i="33" s="1"/>
  <c r="I43" i="33"/>
  <c r="F43" i="33"/>
  <c r="G43" i="33" s="1"/>
  <c r="M43" i="33" s="1"/>
  <c r="I42" i="33"/>
  <c r="F42" i="33"/>
  <c r="G42" i="33" s="1"/>
  <c r="I41" i="33"/>
  <c r="F41" i="33"/>
  <c r="G41" i="33" s="1"/>
  <c r="I40" i="33"/>
  <c r="F40" i="33"/>
  <c r="G40" i="33" s="1"/>
  <c r="I39" i="33"/>
  <c r="F39" i="33"/>
  <c r="G39" i="33" s="1"/>
  <c r="I38" i="33"/>
  <c r="F38" i="33"/>
  <c r="G38" i="33" s="1"/>
  <c r="I37" i="33"/>
  <c r="F37" i="33"/>
  <c r="G37" i="33" s="1"/>
  <c r="I36" i="33"/>
  <c r="F36" i="33"/>
  <c r="G36" i="33" s="1"/>
  <c r="M36" i="33" s="1"/>
  <c r="I35" i="33"/>
  <c r="F35" i="33"/>
  <c r="G35" i="33" s="1"/>
  <c r="I34" i="33"/>
  <c r="F34" i="33"/>
  <c r="G34" i="33" s="1"/>
  <c r="I33" i="33"/>
  <c r="F33" i="33"/>
  <c r="G33" i="33" s="1"/>
  <c r="I32" i="33"/>
  <c r="F32" i="33"/>
  <c r="G32" i="33" s="1"/>
  <c r="M32" i="33" s="1"/>
  <c r="I31" i="33"/>
  <c r="F31" i="33"/>
  <c r="G31" i="33" s="1"/>
  <c r="M31" i="33" s="1"/>
  <c r="I30" i="33"/>
  <c r="F30" i="33"/>
  <c r="G30" i="33" s="1"/>
  <c r="M30" i="33" s="1"/>
  <c r="N30" i="33" s="1"/>
  <c r="O30" i="33" s="1"/>
  <c r="I29" i="33"/>
  <c r="F29" i="33"/>
  <c r="G29" i="33" s="1"/>
  <c r="I28" i="33"/>
  <c r="F28" i="33"/>
  <c r="G28" i="33" s="1"/>
  <c r="M28" i="33" s="1"/>
  <c r="I27" i="33"/>
  <c r="F27" i="33"/>
  <c r="G27" i="33" s="1"/>
  <c r="J27" i="33" s="1"/>
  <c r="K27" i="33" s="1"/>
  <c r="I26" i="33"/>
  <c r="F26" i="33"/>
  <c r="G26" i="33" s="1"/>
  <c r="J26" i="33" s="1"/>
  <c r="K26" i="33" s="1"/>
  <c r="I25" i="33"/>
  <c r="F25" i="33"/>
  <c r="G25" i="33" s="1"/>
  <c r="M25" i="33" s="1"/>
  <c r="I24" i="33"/>
  <c r="F24" i="33"/>
  <c r="G24" i="33" s="1"/>
  <c r="M24" i="33" s="1"/>
  <c r="I23" i="33"/>
  <c r="F23" i="33"/>
  <c r="G23" i="33" s="1"/>
  <c r="M23" i="33" s="1"/>
  <c r="N23" i="33" s="1"/>
  <c r="O23" i="33" s="1"/>
  <c r="I22" i="33"/>
  <c r="F22" i="33"/>
  <c r="G22" i="33" s="1"/>
  <c r="M22" i="33" s="1"/>
  <c r="I21" i="33"/>
  <c r="F21" i="33"/>
  <c r="G21" i="33" s="1"/>
  <c r="J21" i="33" s="1"/>
  <c r="K21" i="33" s="1"/>
  <c r="I20" i="33"/>
  <c r="F20" i="33"/>
  <c r="G20" i="33" s="1"/>
  <c r="J20" i="33" s="1"/>
  <c r="K20" i="33" s="1"/>
  <c r="I19" i="33"/>
  <c r="F19" i="33"/>
  <c r="G19" i="33" s="1"/>
  <c r="I18" i="33"/>
  <c r="F18" i="33"/>
  <c r="G18" i="33" s="1"/>
  <c r="M18" i="33" s="1"/>
  <c r="I17" i="33"/>
  <c r="F17" i="33"/>
  <c r="G17" i="33" s="1"/>
  <c r="M17" i="33" s="1"/>
  <c r="I16" i="33"/>
  <c r="F16" i="33"/>
  <c r="G16" i="33" s="1"/>
  <c r="I15" i="33"/>
  <c r="F15" i="33"/>
  <c r="G15" i="33" s="1"/>
  <c r="M15" i="33" s="1"/>
  <c r="I14" i="33"/>
  <c r="F14" i="33"/>
  <c r="G14" i="33" s="1"/>
  <c r="M14" i="33" s="1"/>
  <c r="I13" i="33"/>
  <c r="F13" i="33"/>
  <c r="G13" i="33" s="1"/>
  <c r="I12" i="33"/>
  <c r="F12" i="33"/>
  <c r="G12" i="33" s="1"/>
  <c r="M12" i="33" s="1"/>
  <c r="N12" i="33" s="1"/>
  <c r="O12" i="33" s="1"/>
  <c r="I11" i="33"/>
  <c r="F11" i="33"/>
  <c r="G11" i="33" s="1"/>
  <c r="M11" i="33" s="1"/>
  <c r="I10" i="33"/>
  <c r="F10" i="33"/>
  <c r="G10" i="33" s="1"/>
  <c r="M10" i="33" s="1"/>
  <c r="I9" i="33"/>
  <c r="F9" i="33"/>
  <c r="G9" i="33" s="1"/>
  <c r="M9" i="33" s="1"/>
  <c r="I8" i="33"/>
  <c r="F8" i="33"/>
  <c r="G8" i="33" s="1"/>
  <c r="M8" i="33" s="1"/>
  <c r="N8" i="33" s="1"/>
  <c r="O8" i="33" s="1"/>
  <c r="I7" i="33"/>
  <c r="F7" i="33"/>
  <c r="G7" i="33" s="1"/>
  <c r="M7" i="33" s="1"/>
  <c r="I6" i="33"/>
  <c r="F6" i="33"/>
  <c r="G6" i="33" s="1"/>
  <c r="M6" i="33" s="1"/>
  <c r="N10" i="33" l="1"/>
  <c r="O10" i="33" s="1"/>
  <c r="J16" i="33"/>
  <c r="K16" i="33" s="1"/>
  <c r="J19" i="33"/>
  <c r="K19" i="33" s="1"/>
  <c r="J61" i="33"/>
  <c r="K61" i="33" s="1"/>
  <c r="J39" i="33"/>
  <c r="K39" i="33" s="1"/>
  <c r="J59" i="33"/>
  <c r="K59" i="33" s="1"/>
  <c r="J43" i="33"/>
  <c r="K43" i="33" s="1"/>
  <c r="P43" i="33" s="1"/>
  <c r="J8" i="33"/>
  <c r="K8" i="33" s="1"/>
  <c r="J40" i="33"/>
  <c r="K40" i="33" s="1"/>
  <c r="J51" i="33"/>
  <c r="K51" i="33" s="1"/>
  <c r="P51" i="33" s="1"/>
  <c r="J53" i="33"/>
  <c r="K53" i="33" s="1"/>
  <c r="J10" i="33"/>
  <c r="K10" i="33" s="1"/>
  <c r="P10" i="33" s="1"/>
  <c r="N32" i="33"/>
  <c r="O32" i="33" s="1"/>
  <c r="J48" i="33"/>
  <c r="K48" i="33" s="1"/>
  <c r="J60" i="33"/>
  <c r="K60" i="33" s="1"/>
  <c r="J71" i="33"/>
  <c r="K71" i="33" s="1"/>
  <c r="P71" i="33" s="1"/>
  <c r="J15" i="33"/>
  <c r="K15" i="33" s="1"/>
  <c r="P15" i="33" s="1"/>
  <c r="M60" i="33"/>
  <c r="M16" i="33"/>
  <c r="N16" i="33" s="1"/>
  <c r="O16" i="33" s="1"/>
  <c r="J28" i="33"/>
  <c r="K28" i="33" s="1"/>
  <c r="J34" i="33"/>
  <c r="K34" i="33" s="1"/>
  <c r="J56" i="33"/>
  <c r="K56" i="33" s="1"/>
  <c r="J35" i="33"/>
  <c r="K35" i="33" s="1"/>
  <c r="J57" i="33"/>
  <c r="K57" i="33" s="1"/>
  <c r="M40" i="33"/>
  <c r="N14" i="33"/>
  <c r="O14" i="33" s="1"/>
  <c r="M35" i="33"/>
  <c r="N35" i="33" s="1"/>
  <c r="O35" i="33" s="1"/>
  <c r="J41" i="33"/>
  <c r="K41" i="33" s="1"/>
  <c r="J32" i="33"/>
  <c r="K32" i="33" s="1"/>
  <c r="P32" i="33" s="1"/>
  <c r="J14" i="33"/>
  <c r="K14" i="33" s="1"/>
  <c r="P14" i="33" s="1"/>
  <c r="J23" i="33"/>
  <c r="K23" i="33" s="1"/>
  <c r="P23" i="33" s="1"/>
  <c r="J37" i="33"/>
  <c r="K37" i="33" s="1"/>
  <c r="J47" i="33"/>
  <c r="K47" i="33" s="1"/>
  <c r="M61" i="33"/>
  <c r="N61" i="33" s="1"/>
  <c r="O61" i="33" s="1"/>
  <c r="J67" i="33"/>
  <c r="K67" i="33" s="1"/>
  <c r="P67" i="33" s="1"/>
  <c r="M72" i="33"/>
  <c r="P72" i="33" s="1"/>
  <c r="J84" i="33"/>
  <c r="K84" i="33" s="1"/>
  <c r="J96" i="33"/>
  <c r="K96" i="33" s="1"/>
  <c r="M47" i="33"/>
  <c r="J52" i="33"/>
  <c r="K52" i="33" s="1"/>
  <c r="M96" i="33"/>
  <c r="M68" i="33"/>
  <c r="P68" i="33" s="1"/>
  <c r="J30" i="33"/>
  <c r="K30" i="33" s="1"/>
  <c r="P30" i="33" s="1"/>
  <c r="M34" i="33"/>
  <c r="N34" i="33" s="1"/>
  <c r="O34" i="33" s="1"/>
  <c r="J44" i="33"/>
  <c r="K44" i="33" s="1"/>
  <c r="P44" i="33" s="1"/>
  <c r="M48" i="33"/>
  <c r="N48" i="33" s="1"/>
  <c r="O48" i="33" s="1"/>
  <c r="J64" i="33"/>
  <c r="K64" i="33" s="1"/>
  <c r="M80" i="33"/>
  <c r="P80" i="33" s="1"/>
  <c r="J6" i="33"/>
  <c r="K6" i="33" s="1"/>
  <c r="P6" i="33" s="1"/>
  <c r="J12" i="33"/>
  <c r="K12" i="33" s="1"/>
  <c r="P12" i="33" s="1"/>
  <c r="M20" i="33"/>
  <c r="N20" i="33" s="1"/>
  <c r="O20" i="33" s="1"/>
  <c r="M39" i="33"/>
  <c r="J49" i="33"/>
  <c r="K49" i="33" s="1"/>
  <c r="M53" i="33"/>
  <c r="N53" i="33" s="1"/>
  <c r="O53" i="33" s="1"/>
  <c r="M27" i="33"/>
  <c r="N27" i="33" s="1"/>
  <c r="O27" i="33" s="1"/>
  <c r="M19" i="33"/>
  <c r="N19" i="33" s="1"/>
  <c r="O19" i="33" s="1"/>
  <c r="N44" i="33"/>
  <c r="O44" i="33" s="1"/>
  <c r="J65" i="33"/>
  <c r="K65" i="33" s="1"/>
  <c r="J76" i="33"/>
  <c r="K76" i="33" s="1"/>
  <c r="P8" i="33"/>
  <c r="J13" i="33"/>
  <c r="K13" i="33" s="1"/>
  <c r="J45" i="33"/>
  <c r="K45" i="33" s="1"/>
  <c r="M49" i="33"/>
  <c r="J88" i="33"/>
  <c r="K88" i="33" s="1"/>
  <c r="N18" i="33"/>
  <c r="O18" i="33" s="1"/>
  <c r="N24" i="33"/>
  <c r="O24" i="33" s="1"/>
  <c r="P28" i="33"/>
  <c r="N9" i="33"/>
  <c r="O9" i="33" s="1"/>
  <c r="N22" i="33"/>
  <c r="O22" i="33" s="1"/>
  <c r="N7" i="33"/>
  <c r="O7" i="33" s="1"/>
  <c r="N36" i="33"/>
  <c r="O36" i="33" s="1"/>
  <c r="N6" i="33"/>
  <c r="O6" i="33" s="1"/>
  <c r="N11" i="33"/>
  <c r="O11" i="33" s="1"/>
  <c r="N31" i="33"/>
  <c r="O31" i="33" s="1"/>
  <c r="M95" i="33"/>
  <c r="J95" i="33"/>
  <c r="K95" i="33" s="1"/>
  <c r="N25" i="33"/>
  <c r="O25" i="33" s="1"/>
  <c r="M54" i="33"/>
  <c r="J54" i="33"/>
  <c r="K54" i="33" s="1"/>
  <c r="M57" i="33"/>
  <c r="M64" i="33"/>
  <c r="M76" i="33"/>
  <c r="M86" i="33"/>
  <c r="J86" i="33"/>
  <c r="K86" i="33" s="1"/>
  <c r="M91" i="33"/>
  <c r="J91" i="33"/>
  <c r="K91" i="33" s="1"/>
  <c r="M42" i="33"/>
  <c r="J42" i="33"/>
  <c r="K42" i="33" s="1"/>
  <c r="M90" i="33"/>
  <c r="J90" i="33"/>
  <c r="K90" i="33" s="1"/>
  <c r="J81" i="33"/>
  <c r="K81" i="33" s="1"/>
  <c r="M81" i="33"/>
  <c r="J17" i="33"/>
  <c r="K17" i="33" s="1"/>
  <c r="P17" i="33" s="1"/>
  <c r="M21" i="33"/>
  <c r="M37" i="33"/>
  <c r="M45" i="33"/>
  <c r="N51" i="33"/>
  <c r="O51" i="33" s="1"/>
  <c r="J77" i="33"/>
  <c r="K77" i="33" s="1"/>
  <c r="M77" i="33"/>
  <c r="M50" i="33"/>
  <c r="J50" i="33"/>
  <c r="K50" i="33" s="1"/>
  <c r="M58" i="33"/>
  <c r="J58" i="33"/>
  <c r="K58" i="33" s="1"/>
  <c r="J33" i="33"/>
  <c r="K33" i="33" s="1"/>
  <c r="N55" i="33"/>
  <c r="O55" i="33" s="1"/>
  <c r="J73" i="33"/>
  <c r="K73" i="33" s="1"/>
  <c r="M73" i="33"/>
  <c r="J97" i="33"/>
  <c r="K97" i="33" s="1"/>
  <c r="M97" i="33"/>
  <c r="M82" i="33"/>
  <c r="J82" i="33"/>
  <c r="K82" i="33" s="1"/>
  <c r="N17" i="33"/>
  <c r="O17" i="33" s="1"/>
  <c r="M38" i="33"/>
  <c r="J38" i="33"/>
  <c r="K38" i="33" s="1"/>
  <c r="M62" i="33"/>
  <c r="J62" i="33"/>
  <c r="K62" i="33" s="1"/>
  <c r="M65" i="33"/>
  <c r="M83" i="33"/>
  <c r="J83" i="33"/>
  <c r="K83" i="33" s="1"/>
  <c r="M92" i="33"/>
  <c r="J7" i="33"/>
  <c r="K7" i="33" s="1"/>
  <c r="P7" i="33" s="1"/>
  <c r="J9" i="33"/>
  <c r="K9" i="33" s="1"/>
  <c r="P9" i="33" s="1"/>
  <c r="J11" i="33"/>
  <c r="K11" i="33" s="1"/>
  <c r="P11" i="33" s="1"/>
  <c r="M13" i="33"/>
  <c r="N15" i="33"/>
  <c r="O15" i="33" s="1"/>
  <c r="J24" i="33"/>
  <c r="K24" i="33" s="1"/>
  <c r="P24" i="33" s="1"/>
  <c r="M26" i="33"/>
  <c r="N28" i="33"/>
  <c r="O28" i="33" s="1"/>
  <c r="M33" i="33"/>
  <c r="J55" i="33"/>
  <c r="K55" i="33" s="1"/>
  <c r="P55" i="33" s="1"/>
  <c r="P59" i="33"/>
  <c r="N59" i="33"/>
  <c r="O59" i="33" s="1"/>
  <c r="J93" i="33"/>
  <c r="K93" i="33" s="1"/>
  <c r="M93" i="33"/>
  <c r="M87" i="33"/>
  <c r="J87" i="33"/>
  <c r="K87" i="33" s="1"/>
  <c r="N96" i="33"/>
  <c r="O96" i="33" s="1"/>
  <c r="N43" i="33"/>
  <c r="O43" i="33" s="1"/>
  <c r="M78" i="33"/>
  <c r="J78" i="33"/>
  <c r="K78" i="33" s="1"/>
  <c r="J22" i="33"/>
  <c r="K22" i="33" s="1"/>
  <c r="P22" i="33" s="1"/>
  <c r="J31" i="33"/>
  <c r="K31" i="33" s="1"/>
  <c r="P31" i="33" s="1"/>
  <c r="M52" i="33"/>
  <c r="M66" i="33"/>
  <c r="J66" i="33"/>
  <c r="K66" i="33" s="1"/>
  <c r="M74" i="33"/>
  <c r="J74" i="33"/>
  <c r="K74" i="33" s="1"/>
  <c r="M79" i="33"/>
  <c r="J79" i="33"/>
  <c r="K79" i="33" s="1"/>
  <c r="M88" i="33"/>
  <c r="M98" i="33"/>
  <c r="J98" i="33"/>
  <c r="K98" i="33" s="1"/>
  <c r="J69" i="33"/>
  <c r="K69" i="33" s="1"/>
  <c r="M69" i="33"/>
  <c r="J29" i="33"/>
  <c r="K29" i="33" s="1"/>
  <c r="J36" i="33"/>
  <c r="K36" i="33" s="1"/>
  <c r="P36" i="33" s="1"/>
  <c r="M41" i="33"/>
  <c r="N63" i="33"/>
  <c r="O63" i="33" s="1"/>
  <c r="M70" i="33"/>
  <c r="J70" i="33"/>
  <c r="K70" i="33" s="1"/>
  <c r="J89" i="33"/>
  <c r="K89" i="33" s="1"/>
  <c r="M89" i="33"/>
  <c r="M46" i="33"/>
  <c r="J46" i="33"/>
  <c r="K46" i="33" s="1"/>
  <c r="J18" i="33"/>
  <c r="K18" i="33" s="1"/>
  <c r="P18" i="33" s="1"/>
  <c r="M56" i="33"/>
  <c r="M75" i="33"/>
  <c r="J75" i="33"/>
  <c r="K75" i="33" s="1"/>
  <c r="M84" i="33"/>
  <c r="M94" i="33"/>
  <c r="J94" i="33"/>
  <c r="K94" i="33" s="1"/>
  <c r="M99" i="33"/>
  <c r="J99" i="33"/>
  <c r="K99" i="33" s="1"/>
  <c r="J25" i="33"/>
  <c r="K25" i="33" s="1"/>
  <c r="P25" i="33" s="1"/>
  <c r="M29" i="33"/>
  <c r="J63" i="33"/>
  <c r="K63" i="33" s="1"/>
  <c r="P63" i="33" s="1"/>
  <c r="N67" i="33"/>
  <c r="O67" i="33" s="1"/>
  <c r="N71" i="33"/>
  <c r="O71" i="33" s="1"/>
  <c r="J85" i="33"/>
  <c r="K85" i="33" s="1"/>
  <c r="M85" i="33"/>
  <c r="P39" i="33" l="1"/>
  <c r="P96" i="33"/>
  <c r="P48" i="33"/>
  <c r="P16" i="33"/>
  <c r="P40" i="33"/>
  <c r="N72" i="33"/>
  <c r="O72" i="33" s="1"/>
  <c r="N40" i="33"/>
  <c r="O40" i="33" s="1"/>
  <c r="N80" i="33"/>
  <c r="O80" i="33" s="1"/>
  <c r="P20" i="33"/>
  <c r="P60" i="33"/>
  <c r="N60" i="33"/>
  <c r="O60" i="33" s="1"/>
  <c r="P47" i="33"/>
  <c r="P53" i="33"/>
  <c r="N68" i="33"/>
  <c r="O68" i="33" s="1"/>
  <c r="P19" i="33"/>
  <c r="N39" i="33"/>
  <c r="O39" i="33" s="1"/>
  <c r="P35" i="33"/>
  <c r="N47" i="33"/>
  <c r="O47" i="33" s="1"/>
  <c r="P61" i="33"/>
  <c r="P34" i="33"/>
  <c r="P27" i="33"/>
  <c r="P49" i="33"/>
  <c r="N49" i="33"/>
  <c r="O49" i="33" s="1"/>
  <c r="N81" i="33"/>
  <c r="O81" i="33" s="1"/>
  <c r="P81" i="33"/>
  <c r="N86" i="33"/>
  <c r="O86" i="33" s="1"/>
  <c r="P86" i="33"/>
  <c r="N46" i="33"/>
  <c r="O46" i="33" s="1"/>
  <c r="P46" i="33"/>
  <c r="P83" i="33"/>
  <c r="N83" i="33"/>
  <c r="O83" i="33" s="1"/>
  <c r="P76" i="33"/>
  <c r="N76" i="33"/>
  <c r="O76" i="33" s="1"/>
  <c r="N58" i="33"/>
  <c r="O58" i="33" s="1"/>
  <c r="P58" i="33"/>
  <c r="N65" i="33"/>
  <c r="O65" i="33" s="1"/>
  <c r="P65" i="33"/>
  <c r="P88" i="33"/>
  <c r="N88" i="33"/>
  <c r="O88" i="33" s="1"/>
  <c r="N77" i="33"/>
  <c r="O77" i="33" s="1"/>
  <c r="P77" i="33"/>
  <c r="N57" i="33"/>
  <c r="O57" i="33" s="1"/>
  <c r="P57" i="33"/>
  <c r="N89" i="33"/>
  <c r="O89" i="33" s="1"/>
  <c r="P89" i="33"/>
  <c r="P29" i="33"/>
  <c r="N29" i="33"/>
  <c r="O29" i="33" s="1"/>
  <c r="N70" i="33"/>
  <c r="O70" i="33" s="1"/>
  <c r="P70" i="33"/>
  <c r="P79" i="33"/>
  <c r="N79" i="33"/>
  <c r="O79" i="33" s="1"/>
  <c r="N54" i="33"/>
  <c r="O54" i="33" s="1"/>
  <c r="P54" i="33"/>
  <c r="P99" i="33"/>
  <c r="N99" i="33"/>
  <c r="O99" i="33" s="1"/>
  <c r="N38" i="33"/>
  <c r="O38" i="33" s="1"/>
  <c r="P38" i="33"/>
  <c r="N90" i="33"/>
  <c r="O90" i="33" s="1"/>
  <c r="P90" i="33"/>
  <c r="P64" i="33"/>
  <c r="N64" i="33"/>
  <c r="O64" i="33" s="1"/>
  <c r="P84" i="33"/>
  <c r="N84" i="33"/>
  <c r="O84" i="33" s="1"/>
  <c r="N74" i="33"/>
  <c r="O74" i="33" s="1"/>
  <c r="P74" i="33"/>
  <c r="P13" i="33"/>
  <c r="P102" i="33" s="1"/>
  <c r="N13" i="33"/>
  <c r="O13" i="33" s="1"/>
  <c r="N45" i="33"/>
  <c r="O45" i="33" s="1"/>
  <c r="P45" i="33"/>
  <c r="N50" i="33"/>
  <c r="O50" i="33" s="1"/>
  <c r="P50" i="33"/>
  <c r="P41" i="33"/>
  <c r="N41" i="33"/>
  <c r="O41" i="33" s="1"/>
  <c r="P87" i="33"/>
  <c r="N87" i="33"/>
  <c r="O87" i="33" s="1"/>
  <c r="N37" i="33"/>
  <c r="O37" i="33" s="1"/>
  <c r="P37" i="33"/>
  <c r="N42" i="33"/>
  <c r="O42" i="33" s="1"/>
  <c r="P42" i="33"/>
  <c r="P33" i="33"/>
  <c r="N33" i="33"/>
  <c r="O33" i="33" s="1"/>
  <c r="P75" i="33"/>
  <c r="N75" i="33"/>
  <c r="O75" i="33" s="1"/>
  <c r="N66" i="33"/>
  <c r="O66" i="33" s="1"/>
  <c r="P66" i="33"/>
  <c r="N93" i="33"/>
  <c r="O93" i="33" s="1"/>
  <c r="P93" i="33"/>
  <c r="N82" i="33"/>
  <c r="O82" i="33" s="1"/>
  <c r="P82" i="33"/>
  <c r="N21" i="33"/>
  <c r="O21" i="33" s="1"/>
  <c r="P21" i="33"/>
  <c r="P52" i="33"/>
  <c r="N52" i="33"/>
  <c r="O52" i="33" s="1"/>
  <c r="N97" i="33"/>
  <c r="O97" i="33" s="1"/>
  <c r="P97" i="33"/>
  <c r="P91" i="33"/>
  <c r="N91" i="33"/>
  <c r="O91" i="33" s="1"/>
  <c r="P95" i="33"/>
  <c r="N95" i="33"/>
  <c r="O95" i="33" s="1"/>
  <c r="N73" i="33"/>
  <c r="O73" i="33" s="1"/>
  <c r="P73" i="33"/>
  <c r="N98" i="33"/>
  <c r="O98" i="33" s="1"/>
  <c r="P98" i="33"/>
  <c r="N78" i="33"/>
  <c r="O78" i="33" s="1"/>
  <c r="P78" i="33"/>
  <c r="N26" i="33"/>
  <c r="O26" i="33" s="1"/>
  <c r="P26" i="33"/>
  <c r="N62" i="33"/>
  <c r="O62" i="33" s="1"/>
  <c r="P62" i="33"/>
  <c r="N94" i="33"/>
  <c r="O94" i="33" s="1"/>
  <c r="P94" i="33"/>
  <c r="N85" i="33"/>
  <c r="O85" i="33" s="1"/>
  <c r="P85" i="33"/>
  <c r="P56" i="33"/>
  <c r="N56" i="33"/>
  <c r="O56" i="33" s="1"/>
  <c r="N69" i="33"/>
  <c r="O69" i="33" s="1"/>
  <c r="P69" i="33"/>
  <c r="P92" i="33"/>
  <c r="N92" i="33"/>
  <c r="O92" i="33" s="1"/>
  <c r="D107" i="33" l="1"/>
  <c r="B190" i="3" s="1"/>
  <c r="F66" i="29" s="1"/>
  <c r="H107" i="33" l="1"/>
  <c r="F190" i="3" s="1"/>
  <c r="J66" i="29" s="1"/>
  <c r="E107" i="33"/>
  <c r="C190" i="3" s="1"/>
  <c r="G66" i="29" s="1"/>
  <c r="F107" i="33"/>
  <c r="D190" i="3" s="1"/>
  <c r="H66" i="29" s="1"/>
  <c r="G107" i="33"/>
  <c r="E190" i="3" s="1"/>
  <c r="I66" i="29" s="1"/>
  <c r="J107" i="33"/>
  <c r="H190" i="3" s="1"/>
  <c r="L66" i="29" s="1"/>
  <c r="I107" i="33"/>
  <c r="G190" i="3" s="1"/>
  <c r="K66" i="29" s="1"/>
  <c r="K107" i="33"/>
  <c r="I190" i="3" s="1"/>
  <c r="M66" i="29" s="1"/>
  <c r="L107" i="33"/>
  <c r="J190" i="3" s="1"/>
  <c r="N66" i="29" s="1"/>
  <c r="M107" i="33"/>
  <c r="K190" i="3" s="1"/>
  <c r="O66" i="29" s="1"/>
  <c r="O107" i="33"/>
  <c r="M190" i="3" s="1"/>
  <c r="Q66" i="29" s="1"/>
  <c r="N107" i="33"/>
  <c r="L190" i="3" s="1"/>
  <c r="P66" i="29" s="1"/>
  <c r="D14" i="28"/>
  <c r="P14" i="28"/>
  <c r="I26" i="28"/>
  <c r="I25" i="28"/>
  <c r="H27" i="28"/>
  <c r="I27" i="28" s="1"/>
  <c r="H26" i="28"/>
  <c r="H25" i="28"/>
  <c r="G27" i="28"/>
  <c r="Q82" i="29"/>
  <c r="Q17" i="29"/>
  <c r="P107" i="33" l="1"/>
  <c r="O95" i="29"/>
  <c r="Y392" i="31"/>
  <c r="Y395" i="31"/>
  <c r="Y394" i="31"/>
  <c r="Y393" i="31"/>
  <c r="Y391" i="31"/>
  <c r="Y390" i="31"/>
  <c r="Y389" i="31"/>
  <c r="Y386" i="31"/>
  <c r="Y375" i="31"/>
  <c r="Y374" i="31"/>
  <c r="Y373" i="31"/>
  <c r="Y372" i="31"/>
  <c r="Y371" i="31"/>
  <c r="Y369" i="31"/>
  <c r="Y368" i="31"/>
  <c r="Y367" i="31"/>
  <c r="Y365" i="31"/>
  <c r="Y363" i="31"/>
  <c r="Y360" i="31"/>
  <c r="Y359" i="31"/>
  <c r="Y358" i="31"/>
  <c r="Y357" i="31"/>
  <c r="Y356" i="31"/>
  <c r="Y355" i="31"/>
  <c r="Y354" i="31"/>
  <c r="Y353" i="31"/>
  <c r="Y352" i="31"/>
  <c r="Y351" i="31"/>
  <c r="Y350" i="31"/>
  <c r="Y349" i="31"/>
  <c r="Y348" i="31"/>
  <c r="Y347" i="31"/>
  <c r="Y346" i="31"/>
  <c r="Y345" i="31"/>
  <c r="Y344" i="31"/>
  <c r="Y343" i="31"/>
  <c r="Y342" i="31"/>
  <c r="Y341" i="31"/>
  <c r="Y340" i="31"/>
  <c r="Y339" i="31"/>
  <c r="Y338" i="31"/>
  <c r="Y337" i="31"/>
  <c r="Y336" i="31"/>
  <c r="Y335" i="31"/>
  <c r="Y334" i="31"/>
  <c r="Y333" i="31"/>
  <c r="Y332" i="31"/>
  <c r="Y331" i="31"/>
  <c r="Y330" i="31"/>
  <c r="Y329" i="31"/>
  <c r="Y328" i="31"/>
  <c r="Y327" i="31"/>
  <c r="Y326" i="31"/>
  <c r="Y325" i="31"/>
  <c r="Y324" i="31"/>
  <c r="E14" i="28" l="1"/>
  <c r="F14" i="28"/>
  <c r="G14" i="28"/>
  <c r="H14" i="28"/>
  <c r="I14" i="28"/>
  <c r="J14" i="28"/>
  <c r="K14" i="28"/>
  <c r="L14" i="28"/>
  <c r="M14" i="28"/>
  <c r="N14" i="28"/>
  <c r="O14" i="28"/>
  <c r="Y28" i="10"/>
  <c r="Z28" i="10" s="1"/>
  <c r="O28" i="10"/>
  <c r="E47" i="25"/>
  <c r="AG39" i="19"/>
  <c r="AT39" i="19"/>
  <c r="Y5" i="6"/>
  <c r="O35" i="10"/>
  <c r="Y39" i="10"/>
  <c r="Z39" i="10" s="1"/>
  <c r="O39" i="10"/>
  <c r="Y38" i="10"/>
  <c r="Z38" i="10" s="1"/>
  <c r="O38" i="10"/>
  <c r="Y37" i="10"/>
  <c r="Z37" i="10" s="1"/>
  <c r="O37" i="10"/>
  <c r="Y36" i="10"/>
  <c r="Z36" i="10" s="1"/>
  <c r="O36" i="10"/>
  <c r="Y11" i="10"/>
  <c r="Z11" i="10" s="1"/>
  <c r="Y12" i="10"/>
  <c r="Z12" i="10" s="1"/>
  <c r="Y13" i="10"/>
  <c r="Z13" i="10" s="1"/>
  <c r="Y14" i="10"/>
  <c r="Z14" i="10" s="1"/>
  <c r="Y15" i="10"/>
  <c r="Z15" i="10" s="1"/>
  <c r="Y16" i="10"/>
  <c r="Z16" i="10" s="1"/>
  <c r="Y17" i="10"/>
  <c r="Z17" i="10" s="1"/>
  <c r="Y18" i="10"/>
  <c r="Z18" i="10" s="1"/>
  <c r="Y19" i="10"/>
  <c r="Z19" i="10" s="1"/>
  <c r="Y20" i="10"/>
  <c r="Z20" i="10" s="1"/>
  <c r="Y21" i="10"/>
  <c r="Z21" i="10" s="1"/>
  <c r="Y22" i="10"/>
  <c r="Z22" i="10" s="1"/>
  <c r="Y23" i="10"/>
  <c r="Z23" i="10" s="1"/>
  <c r="Y24" i="10"/>
  <c r="Z24" i="10" s="1"/>
  <c r="Y25" i="10"/>
  <c r="Z25" i="10" s="1"/>
  <c r="Y26" i="10"/>
  <c r="Z26" i="10" s="1"/>
  <c r="Y27" i="10"/>
  <c r="Z27" i="10" s="1"/>
  <c r="Y29" i="10"/>
  <c r="Z29" i="10" s="1"/>
  <c r="Y30" i="10"/>
  <c r="Z30" i="10" s="1"/>
  <c r="Y31" i="10"/>
  <c r="Z31" i="10" s="1"/>
  <c r="Y10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9" i="10"/>
  <c r="O30" i="10"/>
  <c r="O31" i="10"/>
  <c r="V7" i="6"/>
  <c r="V8" i="6" s="1"/>
  <c r="Y8" i="6" s="1"/>
  <c r="V6" i="6"/>
  <c r="Y6" i="6" s="1"/>
  <c r="F31" i="32"/>
  <c r="E31" i="32"/>
  <c r="L82" i="29"/>
  <c r="M82" i="29"/>
  <c r="N82" i="29"/>
  <c r="O82" i="29"/>
  <c r="P82" i="29"/>
  <c r="O14" i="32"/>
  <c r="D60" i="25"/>
  <c r="D25" i="23"/>
  <c r="P25" i="23"/>
  <c r="P22" i="23"/>
  <c r="G32" i="7"/>
  <c r="G33" i="7"/>
  <c r="G34" i="7"/>
  <c r="G35" i="7"/>
  <c r="G36" i="7"/>
  <c r="G37" i="7"/>
  <c r="G38" i="7"/>
  <c r="G39" i="7"/>
  <c r="G40" i="7"/>
  <c r="G41" i="7"/>
  <c r="G31" i="7"/>
  <c r="F25" i="7"/>
  <c r="G25" i="7"/>
  <c r="H25" i="7"/>
  <c r="I25" i="7"/>
  <c r="J25" i="7"/>
  <c r="K25" i="7"/>
  <c r="L25" i="7"/>
  <c r="M25" i="7"/>
  <c r="N25" i="7"/>
  <c r="O25" i="7"/>
  <c r="P25" i="7"/>
  <c r="L26" i="7"/>
  <c r="N26" i="7"/>
  <c r="E25" i="7"/>
  <c r="F23" i="7"/>
  <c r="G23" i="7"/>
  <c r="H23" i="7"/>
  <c r="I23" i="7"/>
  <c r="J23" i="7"/>
  <c r="K23" i="7"/>
  <c r="L23" i="7"/>
  <c r="M23" i="7"/>
  <c r="N23" i="7"/>
  <c r="O23" i="7"/>
  <c r="P23" i="7"/>
  <c r="G24" i="7"/>
  <c r="H24" i="7"/>
  <c r="I24" i="7"/>
  <c r="M24" i="7"/>
  <c r="N24" i="7"/>
  <c r="E23" i="7"/>
  <c r="P16" i="7"/>
  <c r="P26" i="7" s="1"/>
  <c r="O16" i="7"/>
  <c r="O26" i="7" s="1"/>
  <c r="N16" i="7"/>
  <c r="M16" i="7"/>
  <c r="M26" i="7" s="1"/>
  <c r="L16" i="7"/>
  <c r="K16" i="7"/>
  <c r="K26" i="7" s="1"/>
  <c r="J16" i="7"/>
  <c r="J26" i="7" s="1"/>
  <c r="I16" i="7"/>
  <c r="I26" i="7" s="1"/>
  <c r="H16" i="7"/>
  <c r="H26" i="7" s="1"/>
  <c r="G16" i="7"/>
  <c r="G26" i="7" s="1"/>
  <c r="F16" i="7"/>
  <c r="F26" i="7" s="1"/>
  <c r="E16" i="7"/>
  <c r="Q15" i="7"/>
  <c r="P14" i="7"/>
  <c r="P24" i="7" s="1"/>
  <c r="O14" i="7"/>
  <c r="O24" i="7" s="1"/>
  <c r="N14" i="7"/>
  <c r="M14" i="7"/>
  <c r="L14" i="7"/>
  <c r="L24" i="7" s="1"/>
  <c r="K14" i="7"/>
  <c r="K24" i="7" s="1"/>
  <c r="J14" i="7"/>
  <c r="J24" i="7" s="1"/>
  <c r="I14" i="7"/>
  <c r="H14" i="7"/>
  <c r="G14" i="7"/>
  <c r="F14" i="7"/>
  <c r="F24" i="7" s="1"/>
  <c r="E14" i="7"/>
  <c r="Q13" i="7"/>
  <c r="O9" i="21"/>
  <c r="M9" i="21" s="1"/>
  <c r="F9" i="21"/>
  <c r="Y7" i="6" l="1"/>
  <c r="L9" i="21"/>
  <c r="H9" i="21"/>
  <c r="K9" i="21"/>
  <c r="J9" i="21"/>
  <c r="I9" i="21"/>
  <c r="D9" i="21"/>
  <c r="C9" i="21"/>
  <c r="G9" i="21"/>
  <c r="E9" i="21"/>
  <c r="N9" i="21"/>
  <c r="Q14" i="7"/>
  <c r="Q16" i="7"/>
  <c r="E24" i="7"/>
  <c r="E26" i="7"/>
  <c r="B33" i="3" l="1"/>
  <c r="I46" i="10" l="1"/>
  <c r="H46" i="10"/>
  <c r="B54" i="3"/>
  <c r="B64" i="3"/>
  <c r="B65" i="3"/>
  <c r="B63" i="3"/>
  <c r="B56" i="3"/>
  <c r="B55" i="3"/>
  <c r="O56" i="10"/>
  <c r="I65" i="3" s="1"/>
  <c r="P56" i="10"/>
  <c r="J65" i="3" s="1"/>
  <c r="Q56" i="10"/>
  <c r="K65" i="3" s="1"/>
  <c r="L65" i="3"/>
  <c r="M65" i="3"/>
  <c r="N56" i="10"/>
  <c r="H65" i="3" s="1"/>
  <c r="I56" i="10"/>
  <c r="C65" i="3" s="1"/>
  <c r="J56" i="10"/>
  <c r="D65" i="3" s="1"/>
  <c r="K56" i="10"/>
  <c r="E65" i="3" s="1"/>
  <c r="L56" i="10"/>
  <c r="F65" i="3" s="1"/>
  <c r="G65" i="3"/>
  <c r="O55" i="10"/>
  <c r="I64" i="3" s="1"/>
  <c r="P55" i="10"/>
  <c r="J64" i="3" s="1"/>
  <c r="Q55" i="10"/>
  <c r="K64" i="3" s="1"/>
  <c r="L64" i="3"/>
  <c r="S55" i="10"/>
  <c r="M64" i="3" s="1"/>
  <c r="N55" i="10"/>
  <c r="H64" i="3" s="1"/>
  <c r="I63" i="3"/>
  <c r="J63" i="3"/>
  <c r="K63" i="3"/>
  <c r="L63" i="3"/>
  <c r="S54" i="10"/>
  <c r="M63" i="3" s="1"/>
  <c r="H63" i="3"/>
  <c r="I55" i="10"/>
  <c r="C64" i="3" s="1"/>
  <c r="J55" i="10"/>
  <c r="D64" i="3" s="1"/>
  <c r="K55" i="10"/>
  <c r="E64" i="3" s="1"/>
  <c r="L55" i="10"/>
  <c r="F64" i="3" s="1"/>
  <c r="M55" i="10"/>
  <c r="G64" i="3" s="1"/>
  <c r="C63" i="3"/>
  <c r="D63" i="3"/>
  <c r="E63" i="3"/>
  <c r="F63" i="3"/>
  <c r="M54" i="10"/>
  <c r="G63" i="3" s="1"/>
  <c r="D56" i="3"/>
  <c r="E56" i="3"/>
  <c r="F56" i="3"/>
  <c r="G56" i="3"/>
  <c r="H56" i="3"/>
  <c r="I56" i="3"/>
  <c r="J56" i="3"/>
  <c r="K56" i="3"/>
  <c r="L56" i="3"/>
  <c r="M56" i="3"/>
  <c r="C56" i="3"/>
  <c r="D55" i="3"/>
  <c r="E55" i="3"/>
  <c r="F55" i="3"/>
  <c r="G55" i="3"/>
  <c r="H55" i="3"/>
  <c r="I55" i="3"/>
  <c r="J55" i="3"/>
  <c r="K55" i="3"/>
  <c r="L55" i="3"/>
  <c r="M55" i="3"/>
  <c r="C55" i="3"/>
  <c r="D54" i="3"/>
  <c r="E54" i="3"/>
  <c r="F54" i="3"/>
  <c r="G54" i="3"/>
  <c r="H54" i="3"/>
  <c r="I54" i="3"/>
  <c r="J54" i="3"/>
  <c r="K54" i="3"/>
  <c r="L54" i="3"/>
  <c r="M54" i="3"/>
  <c r="C54" i="3"/>
  <c r="S47" i="10"/>
  <c r="M47" i="3" s="1"/>
  <c r="N47" i="10"/>
  <c r="H47" i="3" s="1"/>
  <c r="I48" i="10"/>
  <c r="C48" i="3" s="1"/>
  <c r="J48" i="10"/>
  <c r="D48" i="3" s="1"/>
  <c r="K48" i="10"/>
  <c r="E48" i="3" s="1"/>
  <c r="L48" i="10"/>
  <c r="F48" i="3" s="1"/>
  <c r="M48" i="10"/>
  <c r="G48" i="3" s="1"/>
  <c r="H48" i="10"/>
  <c r="B48" i="3" s="1"/>
  <c r="I47" i="10"/>
  <c r="C47" i="3" s="1"/>
  <c r="J47" i="10"/>
  <c r="D47" i="3" s="1"/>
  <c r="K47" i="10"/>
  <c r="E47" i="3" s="1"/>
  <c r="L47" i="10"/>
  <c r="F47" i="3" s="1"/>
  <c r="M47" i="10"/>
  <c r="G47" i="3" s="1"/>
  <c r="H47" i="10"/>
  <c r="B47" i="3" s="1"/>
  <c r="Z10" i="10"/>
  <c r="O11" i="10"/>
  <c r="O10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M35" i="10"/>
  <c r="O47" i="10"/>
  <c r="I47" i="3" s="1"/>
  <c r="S48" i="10"/>
  <c r="M48" i="3" s="1"/>
  <c r="AA35" i="10"/>
  <c r="L35" i="10"/>
  <c r="Y35" i="10" s="1"/>
  <c r="Z35" i="10" s="1"/>
  <c r="L93" i="29"/>
  <c r="M93" i="29"/>
  <c r="N93" i="29"/>
  <c r="O93" i="29"/>
  <c r="P93" i="29"/>
  <c r="Q93" i="29"/>
  <c r="F97" i="29"/>
  <c r="G97" i="29"/>
  <c r="H97" i="29"/>
  <c r="I97" i="29"/>
  <c r="J97" i="29"/>
  <c r="K97" i="29"/>
  <c r="L97" i="29"/>
  <c r="M97" i="29"/>
  <c r="N97" i="29"/>
  <c r="O97" i="29"/>
  <c r="P97" i="29"/>
  <c r="Q97" i="29"/>
  <c r="F96" i="29"/>
  <c r="G96" i="29"/>
  <c r="H96" i="29"/>
  <c r="I96" i="29"/>
  <c r="J96" i="29"/>
  <c r="K96" i="29"/>
  <c r="L96" i="29"/>
  <c r="M96" i="29"/>
  <c r="N96" i="29"/>
  <c r="O96" i="29"/>
  <c r="P96" i="29"/>
  <c r="Q96" i="29"/>
  <c r="F95" i="29"/>
  <c r="G95" i="29"/>
  <c r="H95" i="29"/>
  <c r="I95" i="29"/>
  <c r="J95" i="29"/>
  <c r="K95" i="29"/>
  <c r="L95" i="29"/>
  <c r="M95" i="29"/>
  <c r="N95" i="29"/>
  <c r="P95" i="29"/>
  <c r="Q95" i="29"/>
  <c r="G94" i="29"/>
  <c r="H94" i="29"/>
  <c r="I94" i="29"/>
  <c r="J94" i="29"/>
  <c r="K94" i="29"/>
  <c r="L94" i="29"/>
  <c r="M94" i="29"/>
  <c r="N94" i="29"/>
  <c r="O94" i="29"/>
  <c r="P94" i="29"/>
  <c r="Q94" i="29"/>
  <c r="F94" i="29"/>
  <c r="I50" i="3"/>
  <c r="C50" i="3"/>
  <c r="N48" i="10" l="1"/>
  <c r="H48" i="3" s="1"/>
  <c r="Q48" i="10"/>
  <c r="K48" i="3" s="1"/>
  <c r="R48" i="10"/>
  <c r="L48" i="3" s="1"/>
  <c r="P48" i="10"/>
  <c r="J48" i="3" s="1"/>
  <c r="O48" i="10"/>
  <c r="I48" i="3" s="1"/>
  <c r="R47" i="10"/>
  <c r="L47" i="3" s="1"/>
  <c r="Q47" i="10"/>
  <c r="K47" i="3" s="1"/>
  <c r="P47" i="10"/>
  <c r="J47" i="3" s="1"/>
  <c r="S46" i="10"/>
  <c r="R46" i="10"/>
  <c r="Q46" i="10"/>
  <c r="P46" i="10"/>
  <c r="AC40" i="25"/>
  <c r="AC42" i="25" l="1"/>
  <c r="AC25" i="25"/>
  <c r="AC26" i="25"/>
  <c r="AC23" i="25"/>
  <c r="AC27" i="25"/>
  <c r="B171" i="3"/>
  <c r="C171" i="3"/>
  <c r="D171" i="3"/>
  <c r="E171" i="3"/>
  <c r="F171" i="3"/>
  <c r="G171" i="3"/>
  <c r="H171" i="3"/>
  <c r="I171" i="3"/>
  <c r="J171" i="3"/>
  <c r="K171" i="3"/>
  <c r="L171" i="3"/>
  <c r="M171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J160" i="31" l="1"/>
  <c r="U206" i="31"/>
  <c r="U204" i="31"/>
  <c r="U202" i="31"/>
  <c r="U200" i="31"/>
  <c r="U198" i="31"/>
  <c r="U196" i="31"/>
  <c r="U205" i="31"/>
  <c r="U203" i="31"/>
  <c r="U201" i="31"/>
  <c r="U199" i="31"/>
  <c r="U197" i="31"/>
  <c r="K16" i="19"/>
  <c r="L16" i="19"/>
  <c r="M16" i="19"/>
  <c r="N16" i="19"/>
  <c r="J16" i="19"/>
  <c r="D16" i="19"/>
  <c r="E16" i="19"/>
  <c r="F16" i="19"/>
  <c r="G16" i="19"/>
  <c r="H16" i="19"/>
  <c r="I16" i="19"/>
  <c r="C16" i="19"/>
  <c r="K15" i="19"/>
  <c r="L15" i="19"/>
  <c r="M15" i="19"/>
  <c r="N15" i="19"/>
  <c r="J15" i="19"/>
  <c r="D15" i="19"/>
  <c r="E15" i="19"/>
  <c r="F15" i="19"/>
  <c r="G15" i="19"/>
  <c r="H15" i="19"/>
  <c r="I15" i="19"/>
  <c r="C15" i="19"/>
  <c r="K14" i="19"/>
  <c r="L14" i="19"/>
  <c r="M14" i="19"/>
  <c r="N14" i="19"/>
  <c r="J14" i="19"/>
  <c r="D14" i="19"/>
  <c r="E14" i="19"/>
  <c r="F14" i="19"/>
  <c r="G14" i="19"/>
  <c r="H14" i="19"/>
  <c r="I14" i="19"/>
  <c r="C14" i="19"/>
  <c r="K13" i="19"/>
  <c r="L13" i="19"/>
  <c r="M13" i="19"/>
  <c r="N13" i="19"/>
  <c r="J13" i="19"/>
  <c r="D13" i="19"/>
  <c r="E13" i="19"/>
  <c r="F13" i="19"/>
  <c r="G13" i="19"/>
  <c r="H13" i="19"/>
  <c r="I13" i="19"/>
  <c r="C13" i="19"/>
  <c r="K12" i="19"/>
  <c r="L12" i="19"/>
  <c r="M12" i="19"/>
  <c r="N12" i="19"/>
  <c r="J12" i="19"/>
  <c r="D12" i="19"/>
  <c r="E12" i="19"/>
  <c r="F12" i="19"/>
  <c r="G12" i="19"/>
  <c r="H12" i="19"/>
  <c r="I12" i="19"/>
  <c r="C12" i="19"/>
  <c r="J32" i="32" l="1"/>
  <c r="J31" i="32"/>
  <c r="M221" i="3" s="1"/>
  <c r="I32" i="32"/>
  <c r="I31" i="32"/>
  <c r="J221" i="3" s="1"/>
  <c r="H32" i="32"/>
  <c r="H31" i="32"/>
  <c r="G221" i="3" s="1"/>
  <c r="G31" i="32"/>
  <c r="G32" i="32"/>
  <c r="F32" i="32"/>
  <c r="E32" i="32"/>
  <c r="E26" i="32"/>
  <c r="D26" i="32"/>
  <c r="C26" i="32"/>
  <c r="D221" i="3" l="1"/>
  <c r="K31" i="32"/>
  <c r="K32" i="32"/>
  <c r="M15" i="32" l="1"/>
  <c r="L15" i="32"/>
  <c r="K15" i="32"/>
  <c r="J15" i="32"/>
  <c r="I15" i="32"/>
  <c r="H15" i="32"/>
  <c r="G15" i="32"/>
  <c r="F15" i="32"/>
  <c r="E15" i="32"/>
  <c r="D15" i="32"/>
  <c r="C15" i="32"/>
  <c r="N13" i="32"/>
  <c r="O13" i="32" s="1"/>
  <c r="O15" i="32" l="1"/>
  <c r="U14" i="28"/>
  <c r="U15" i="28"/>
  <c r="U16" i="28"/>
  <c r="U17" i="28"/>
  <c r="U18" i="28"/>
  <c r="U13" i="28"/>
  <c r="F86" i="29" l="1"/>
  <c r="G86" i="29"/>
  <c r="H86" i="29"/>
  <c r="I86" i="29"/>
  <c r="J86" i="29"/>
  <c r="K86" i="29"/>
  <c r="L86" i="29"/>
  <c r="M86" i="29"/>
  <c r="N86" i="29"/>
  <c r="O86" i="29"/>
  <c r="P86" i="29"/>
  <c r="Q86" i="29"/>
  <c r="F87" i="29"/>
  <c r="G87" i="29"/>
  <c r="H87" i="29"/>
  <c r="I87" i="29"/>
  <c r="J87" i="29"/>
  <c r="K87" i="29"/>
  <c r="L87" i="29"/>
  <c r="M87" i="29"/>
  <c r="N87" i="29"/>
  <c r="O87" i="29"/>
  <c r="P87" i="29"/>
  <c r="Q87" i="29"/>
  <c r="F88" i="29"/>
  <c r="G88" i="29"/>
  <c r="H88" i="29"/>
  <c r="I88" i="29"/>
  <c r="J88" i="29"/>
  <c r="K88" i="29"/>
  <c r="L88" i="29"/>
  <c r="M88" i="29"/>
  <c r="N88" i="29"/>
  <c r="O88" i="29"/>
  <c r="P88" i="29"/>
  <c r="Q88" i="29"/>
  <c r="F89" i="29"/>
  <c r="G89" i="29"/>
  <c r="H89" i="29"/>
  <c r="I89" i="29"/>
  <c r="J89" i="29"/>
  <c r="K89" i="29"/>
  <c r="L89" i="29"/>
  <c r="M89" i="29"/>
  <c r="N89" i="29"/>
  <c r="O89" i="29"/>
  <c r="P89" i="29"/>
  <c r="Q89" i="29"/>
  <c r="F91" i="29"/>
  <c r="G91" i="29"/>
  <c r="H91" i="29"/>
  <c r="I91" i="29"/>
  <c r="J91" i="29"/>
  <c r="K91" i="29"/>
  <c r="L91" i="29"/>
  <c r="M91" i="29"/>
  <c r="N91" i="29"/>
  <c r="O91" i="29"/>
  <c r="P91" i="29"/>
  <c r="Q91" i="29"/>
  <c r="F92" i="29"/>
  <c r="G92" i="29"/>
  <c r="H92" i="29"/>
  <c r="I92" i="29"/>
  <c r="J92" i="29"/>
  <c r="K92" i="29"/>
  <c r="L92" i="29"/>
  <c r="M92" i="29"/>
  <c r="N92" i="29"/>
  <c r="O92" i="29"/>
  <c r="P92" i="29"/>
  <c r="Q92" i="29"/>
  <c r="F93" i="29"/>
  <c r="G93" i="29"/>
  <c r="H93" i="29"/>
  <c r="I93" i="29"/>
  <c r="J93" i="29"/>
  <c r="K93" i="29"/>
  <c r="G85" i="29"/>
  <c r="H85" i="29"/>
  <c r="I85" i="29"/>
  <c r="J85" i="29"/>
  <c r="K85" i="29"/>
  <c r="L85" i="29"/>
  <c r="M85" i="29"/>
  <c r="N85" i="29"/>
  <c r="P85" i="29"/>
  <c r="Q85" i="29"/>
  <c r="F85" i="29"/>
  <c r="F82" i="29"/>
  <c r="G82" i="29"/>
  <c r="H82" i="29"/>
  <c r="I82" i="29"/>
  <c r="J82" i="29"/>
  <c r="K82" i="29"/>
  <c r="F83" i="29"/>
  <c r="G83" i="29"/>
  <c r="H83" i="29"/>
  <c r="I83" i="29"/>
  <c r="J83" i="29"/>
  <c r="K83" i="29"/>
  <c r="L83" i="29"/>
  <c r="M83" i="29"/>
  <c r="N83" i="29"/>
  <c r="O83" i="29"/>
  <c r="P83" i="29"/>
  <c r="Q83" i="29"/>
  <c r="F75" i="29"/>
  <c r="G75" i="29"/>
  <c r="H75" i="29"/>
  <c r="I75" i="29"/>
  <c r="J75" i="29"/>
  <c r="K75" i="29"/>
  <c r="L75" i="29"/>
  <c r="M75" i="29"/>
  <c r="N75" i="29"/>
  <c r="O75" i="29"/>
  <c r="P75" i="29"/>
  <c r="Q75" i="29"/>
  <c r="F76" i="29"/>
  <c r="G76" i="29"/>
  <c r="H76" i="29"/>
  <c r="I76" i="29"/>
  <c r="J76" i="29"/>
  <c r="K76" i="29"/>
  <c r="L76" i="29"/>
  <c r="M76" i="29"/>
  <c r="N76" i="29"/>
  <c r="O76" i="29"/>
  <c r="P76" i="29"/>
  <c r="Q76" i="29"/>
  <c r="F77" i="29"/>
  <c r="G77" i="29"/>
  <c r="H77" i="29"/>
  <c r="I77" i="29"/>
  <c r="J77" i="29"/>
  <c r="K77" i="29"/>
  <c r="L77" i="29"/>
  <c r="M77" i="29"/>
  <c r="N77" i="29"/>
  <c r="O77" i="29"/>
  <c r="P77" i="29"/>
  <c r="Q77" i="29"/>
  <c r="F78" i="29"/>
  <c r="G78" i="29"/>
  <c r="H78" i="29"/>
  <c r="I78" i="29"/>
  <c r="J78" i="29"/>
  <c r="K78" i="29"/>
  <c r="L78" i="29"/>
  <c r="M78" i="29"/>
  <c r="N78" i="29"/>
  <c r="O78" i="29"/>
  <c r="P78" i="29"/>
  <c r="Q78" i="29"/>
  <c r="F79" i="29"/>
  <c r="G79" i="29"/>
  <c r="H79" i="29"/>
  <c r="I79" i="29"/>
  <c r="J79" i="29"/>
  <c r="K79" i="29"/>
  <c r="L79" i="29"/>
  <c r="M79" i="29"/>
  <c r="N79" i="29"/>
  <c r="O79" i="29"/>
  <c r="P79" i="29"/>
  <c r="Q79" i="29"/>
  <c r="F80" i="29"/>
  <c r="G80" i="29"/>
  <c r="H80" i="29"/>
  <c r="I80" i="29"/>
  <c r="J80" i="29"/>
  <c r="K80" i="29"/>
  <c r="L80" i="29"/>
  <c r="M80" i="29"/>
  <c r="N80" i="29"/>
  <c r="O80" i="29"/>
  <c r="P80" i="29"/>
  <c r="Q80" i="29"/>
  <c r="F81" i="29"/>
  <c r="G81" i="29"/>
  <c r="H81" i="29"/>
  <c r="I81" i="29"/>
  <c r="J81" i="29"/>
  <c r="K81" i="29"/>
  <c r="L81" i="29"/>
  <c r="M81" i="29"/>
  <c r="N81" i="29"/>
  <c r="O81" i="29"/>
  <c r="P81" i="29"/>
  <c r="Q81" i="29"/>
  <c r="G74" i="29"/>
  <c r="H74" i="29"/>
  <c r="I74" i="29"/>
  <c r="J74" i="29"/>
  <c r="K74" i="29"/>
  <c r="L74" i="29"/>
  <c r="M74" i="29"/>
  <c r="N74" i="29"/>
  <c r="O74" i="29"/>
  <c r="P74" i="29"/>
  <c r="Q74" i="29"/>
  <c r="F74" i="29"/>
  <c r="O557" i="31"/>
  <c r="U189" i="31"/>
  <c r="U188" i="31"/>
  <c r="U187" i="31"/>
  <c r="U186" i="31"/>
  <c r="U185" i="31"/>
  <c r="U184" i="31"/>
  <c r="U183" i="31"/>
  <c r="U182" i="31"/>
  <c r="U181" i="31"/>
  <c r="U179" i="31"/>
  <c r="U178" i="31"/>
  <c r="U176" i="31"/>
  <c r="U174" i="31"/>
  <c r="U173" i="31"/>
  <c r="U172" i="31"/>
  <c r="U171" i="31"/>
  <c r="U170" i="31"/>
  <c r="U169" i="31"/>
  <c r="U167" i="31"/>
  <c r="U166" i="31"/>
  <c r="U164" i="31"/>
  <c r="U163" i="31"/>
  <c r="U161" i="31"/>
  <c r="U160" i="31"/>
  <c r="Y387" i="31"/>
  <c r="Y385" i="31"/>
  <c r="Y384" i="31"/>
  <c r="K47" i="27"/>
  <c r="K75" i="27"/>
  <c r="L75" i="27" s="1"/>
  <c r="K74" i="27"/>
  <c r="L74" i="27" s="1"/>
  <c r="K73" i="27"/>
  <c r="L73" i="27" s="1"/>
  <c r="K72" i="27"/>
  <c r="L72" i="27" s="1"/>
  <c r="K71" i="27"/>
  <c r="U449" i="31" l="1"/>
  <c r="M449" i="31"/>
  <c r="Q448" i="31"/>
  <c r="U447" i="31"/>
  <c r="M447" i="31"/>
  <c r="Q446" i="31"/>
  <c r="U445" i="31"/>
  <c r="M445" i="31"/>
  <c r="Q444" i="31"/>
  <c r="U443" i="31"/>
  <c r="M443" i="31"/>
  <c r="Q442" i="31"/>
  <c r="U441" i="31"/>
  <c r="M441" i="31"/>
  <c r="Q440" i="31"/>
  <c r="U439" i="31"/>
  <c r="M439" i="31"/>
  <c r="Q438" i="31"/>
  <c r="U437" i="31"/>
  <c r="M437" i="31"/>
  <c r="T449" i="31"/>
  <c r="L449" i="31"/>
  <c r="P448" i="31"/>
  <c r="T447" i="31"/>
  <c r="L447" i="31"/>
  <c r="P446" i="31"/>
  <c r="T445" i="31"/>
  <c r="L445" i="31"/>
  <c r="P444" i="31"/>
  <c r="T443" i="31"/>
  <c r="L443" i="31"/>
  <c r="P442" i="31"/>
  <c r="T441" i="31"/>
  <c r="L441" i="31"/>
  <c r="P440" i="31"/>
  <c r="T439" i="31"/>
  <c r="L439" i="31"/>
  <c r="P438" i="31"/>
  <c r="T437" i="31"/>
  <c r="L437" i="31"/>
  <c r="S449" i="31"/>
  <c r="K449" i="31"/>
  <c r="O448" i="31"/>
  <c r="S447" i="31"/>
  <c r="K447" i="31"/>
  <c r="O446" i="31"/>
  <c r="S445" i="31"/>
  <c r="K445" i="31"/>
  <c r="O444" i="31"/>
  <c r="S443" i="31"/>
  <c r="K443" i="31"/>
  <c r="O442" i="31"/>
  <c r="S441" i="31"/>
  <c r="K441" i="31"/>
  <c r="O440" i="31"/>
  <c r="S439" i="31"/>
  <c r="K439" i="31"/>
  <c r="O438" i="31"/>
  <c r="S437" i="31"/>
  <c r="K437" i="31"/>
  <c r="R449" i="31"/>
  <c r="J449" i="31"/>
  <c r="N448" i="31"/>
  <c r="R447" i="31"/>
  <c r="J447" i="31"/>
  <c r="N446" i="31"/>
  <c r="R445" i="31"/>
  <c r="J445" i="31"/>
  <c r="N444" i="31"/>
  <c r="R443" i="31"/>
  <c r="J443" i="31"/>
  <c r="N442" i="31"/>
  <c r="R441" i="31"/>
  <c r="J441" i="31"/>
  <c r="N440" i="31"/>
  <c r="R439" i="31"/>
  <c r="J439" i="31"/>
  <c r="N438" i="31"/>
  <c r="R437" i="31"/>
  <c r="Q449" i="31"/>
  <c r="U448" i="31"/>
  <c r="M448" i="31"/>
  <c r="Q447" i="31"/>
  <c r="U446" i="31"/>
  <c r="M446" i="31"/>
  <c r="Q445" i="31"/>
  <c r="U444" i="31"/>
  <c r="M444" i="31"/>
  <c r="Q443" i="31"/>
  <c r="U442" i="31"/>
  <c r="M442" i="31"/>
  <c r="Q441" i="31"/>
  <c r="U440" i="31"/>
  <c r="M440" i="31"/>
  <c r="Q439" i="31"/>
  <c r="U438" i="31"/>
  <c r="M438" i="31"/>
  <c r="Q437" i="31"/>
  <c r="P449" i="31"/>
  <c r="T448" i="31"/>
  <c r="L448" i="31"/>
  <c r="P447" i="31"/>
  <c r="T446" i="31"/>
  <c r="L446" i="31"/>
  <c r="P445" i="31"/>
  <c r="T444" i="31"/>
  <c r="L444" i="31"/>
  <c r="P443" i="31"/>
  <c r="T442" i="31"/>
  <c r="L442" i="31"/>
  <c r="P441" i="31"/>
  <c r="T440" i="31"/>
  <c r="L440" i="31"/>
  <c r="P439" i="31"/>
  <c r="T438" i="31"/>
  <c r="L438" i="31"/>
  <c r="P437" i="31"/>
  <c r="O449" i="31"/>
  <c r="S448" i="31"/>
  <c r="K448" i="31"/>
  <c r="O447" i="31"/>
  <c r="S446" i="31"/>
  <c r="K446" i="31"/>
  <c r="O445" i="31"/>
  <c r="S444" i="31"/>
  <c r="K444" i="31"/>
  <c r="O443" i="31"/>
  <c r="S442" i="31"/>
  <c r="K442" i="31"/>
  <c r="O441" i="31"/>
  <c r="S440" i="31"/>
  <c r="K440" i="31"/>
  <c r="O439" i="31"/>
  <c r="S438" i="31"/>
  <c r="K438" i="31"/>
  <c r="O437" i="31"/>
  <c r="N449" i="31"/>
  <c r="R448" i="31"/>
  <c r="J448" i="31"/>
  <c r="N447" i="31"/>
  <c r="R446" i="31"/>
  <c r="J446" i="31"/>
  <c r="N445" i="31"/>
  <c r="R444" i="31"/>
  <c r="J444" i="31"/>
  <c r="N443" i="31"/>
  <c r="R442" i="31"/>
  <c r="J442" i="31"/>
  <c r="N441" i="31"/>
  <c r="R440" i="31"/>
  <c r="J440" i="31"/>
  <c r="N439" i="31"/>
  <c r="R438" i="31"/>
  <c r="J438" i="31"/>
  <c r="N437" i="31"/>
  <c r="Q264" i="31"/>
  <c r="U289" i="31"/>
  <c r="M289" i="31"/>
  <c r="Q288" i="31"/>
  <c r="U287" i="31"/>
  <c r="M287" i="31"/>
  <c r="Q286" i="31"/>
  <c r="U285" i="31"/>
  <c r="M285" i="31"/>
  <c r="Q284" i="31"/>
  <c r="U283" i="31"/>
  <c r="M283" i="31"/>
  <c r="Q282" i="31"/>
  <c r="U281" i="31"/>
  <c r="M281" i="31"/>
  <c r="Q280" i="31"/>
  <c r="U279" i="31"/>
  <c r="M279" i="31"/>
  <c r="Q278" i="31"/>
  <c r="U277" i="31"/>
  <c r="M277" i="31"/>
  <c r="T289" i="31"/>
  <c r="L289" i="31"/>
  <c r="P288" i="31"/>
  <c r="T287" i="31"/>
  <c r="P286" i="31"/>
  <c r="T285" i="31"/>
  <c r="L285" i="31"/>
  <c r="P284" i="31"/>
  <c r="T283" i="31"/>
  <c r="L283" i="31"/>
  <c r="P282" i="31"/>
  <c r="T281" i="31"/>
  <c r="L281" i="31"/>
  <c r="P280" i="31"/>
  <c r="T279" i="31"/>
  <c r="L279" i="31"/>
  <c r="P278" i="31"/>
  <c r="T277" i="31"/>
  <c r="L277" i="31"/>
  <c r="S289" i="31"/>
  <c r="K289" i="31"/>
  <c r="O288" i="31"/>
  <c r="S287" i="31"/>
  <c r="K287" i="31"/>
  <c r="O286" i="31"/>
  <c r="S285" i="31"/>
  <c r="K285" i="31"/>
  <c r="O284" i="31"/>
  <c r="S283" i="31"/>
  <c r="K283" i="31"/>
  <c r="O282" i="31"/>
  <c r="S281" i="31"/>
  <c r="K281" i="31"/>
  <c r="O280" i="31"/>
  <c r="S279" i="31"/>
  <c r="K279" i="31"/>
  <c r="O278" i="31"/>
  <c r="S277" i="31"/>
  <c r="K277" i="31"/>
  <c r="R289" i="31"/>
  <c r="J289" i="31"/>
  <c r="N288" i="31"/>
  <c r="R287" i="31"/>
  <c r="J287" i="31"/>
  <c r="N286" i="31"/>
  <c r="R285" i="31"/>
  <c r="J285" i="31"/>
  <c r="N284" i="31"/>
  <c r="R283" i="31"/>
  <c r="J283" i="31"/>
  <c r="N282" i="31"/>
  <c r="R281" i="31"/>
  <c r="J281" i="31"/>
  <c r="N280" i="31"/>
  <c r="R279" i="31"/>
  <c r="J279" i="31"/>
  <c r="N278" i="31"/>
  <c r="R277" i="31"/>
  <c r="Q289" i="31"/>
  <c r="U288" i="31"/>
  <c r="M288" i="31"/>
  <c r="Q287" i="31"/>
  <c r="U286" i="31"/>
  <c r="M286" i="31"/>
  <c r="Q285" i="31"/>
  <c r="U284" i="31"/>
  <c r="M284" i="31"/>
  <c r="Q283" i="31"/>
  <c r="U282" i="31"/>
  <c r="M282" i="31"/>
  <c r="Q281" i="31"/>
  <c r="U280" i="31"/>
  <c r="M280" i="31"/>
  <c r="Q279" i="31"/>
  <c r="U278" i="31"/>
  <c r="M278" i="31"/>
  <c r="Q277" i="31"/>
  <c r="P289" i="31"/>
  <c r="T288" i="31"/>
  <c r="L288" i="31"/>
  <c r="P287" i="31"/>
  <c r="T286" i="31"/>
  <c r="L286" i="31"/>
  <c r="P285" i="31"/>
  <c r="T284" i="31"/>
  <c r="L284" i="31"/>
  <c r="P283" i="31"/>
  <c r="T282" i="31"/>
  <c r="L282" i="31"/>
  <c r="P281" i="31"/>
  <c r="T280" i="31"/>
  <c r="L280" i="31"/>
  <c r="P279" i="31"/>
  <c r="T278" i="31"/>
  <c r="L278" i="31"/>
  <c r="P277" i="31"/>
  <c r="N289" i="31"/>
  <c r="R288" i="31"/>
  <c r="J288" i="31"/>
  <c r="N287" i="31"/>
  <c r="R286" i="31"/>
  <c r="J286" i="31"/>
  <c r="N285" i="31"/>
  <c r="R284" i="31"/>
  <c r="J284" i="31"/>
  <c r="N283" i="31"/>
  <c r="R282" i="31"/>
  <c r="J282" i="31"/>
  <c r="N281" i="31"/>
  <c r="R280" i="31"/>
  <c r="N279" i="31"/>
  <c r="R278" i="31"/>
  <c r="J278" i="31"/>
  <c r="N277" i="31"/>
  <c r="O289" i="31"/>
  <c r="S288" i="31"/>
  <c r="K288" i="31"/>
  <c r="O287" i="31"/>
  <c r="S286" i="31"/>
  <c r="K286" i="31"/>
  <c r="O285" i="31"/>
  <c r="S284" i="31"/>
  <c r="K284" i="31"/>
  <c r="O283" i="31"/>
  <c r="S282" i="31"/>
  <c r="K282" i="31"/>
  <c r="O281" i="31"/>
  <c r="S280" i="31"/>
  <c r="K280" i="31"/>
  <c r="O279" i="31"/>
  <c r="S278" i="31"/>
  <c r="K278" i="31"/>
  <c r="O277" i="31"/>
  <c r="T487" i="31"/>
  <c r="Q479" i="31"/>
  <c r="K495" i="31"/>
  <c r="N506" i="31"/>
  <c r="O532" i="31"/>
  <c r="P484" i="31"/>
  <c r="N516" i="31"/>
  <c r="M480" i="31"/>
  <c r="J508" i="31"/>
  <c r="L482" i="31"/>
  <c r="P492" i="31"/>
  <c r="U499" i="31"/>
  <c r="R513" i="31"/>
  <c r="S492" i="31"/>
  <c r="O502" i="31"/>
  <c r="L486" i="31"/>
  <c r="O493" i="31"/>
  <c r="P502" i="31"/>
  <c r="N486" i="31"/>
  <c r="R494" i="31"/>
  <c r="L505" i="31"/>
  <c r="R488" i="31"/>
  <c r="P480" i="31"/>
  <c r="J490" i="31"/>
  <c r="J498" i="31"/>
  <c r="S510" i="31"/>
  <c r="L496" i="31"/>
  <c r="R481" i="31"/>
  <c r="N491" i="31"/>
  <c r="M498" i="31"/>
  <c r="Q513" i="31"/>
  <c r="N480" i="31"/>
  <c r="N482" i="31"/>
  <c r="T486" i="31"/>
  <c r="T490" i="31"/>
  <c r="T492" i="31"/>
  <c r="M495" i="31"/>
  <c r="N498" i="31"/>
  <c r="Q502" i="31"/>
  <c r="K508" i="31"/>
  <c r="S513" i="31"/>
  <c r="O480" i="31"/>
  <c r="O484" i="31"/>
  <c r="S487" i="31"/>
  <c r="U490" i="31"/>
  <c r="M493" i="31"/>
  <c r="K496" i="31"/>
  <c r="T498" i="31"/>
  <c r="R502" i="31"/>
  <c r="L508" i="31"/>
  <c r="M516" i="31"/>
  <c r="N532" i="31"/>
  <c r="M478" i="31"/>
  <c r="S480" i="31"/>
  <c r="K485" i="31"/>
  <c r="U487" i="31"/>
  <c r="P491" i="31"/>
  <c r="M494" i="31"/>
  <c r="O496" i="31"/>
  <c r="Q500" i="31"/>
  <c r="M505" i="31"/>
  <c r="T510" i="31"/>
  <c r="O516" i="31"/>
  <c r="P532" i="31"/>
  <c r="T478" i="31"/>
  <c r="J481" i="31"/>
  <c r="N485" i="31"/>
  <c r="J488" i="31"/>
  <c r="S491" i="31"/>
  <c r="N494" i="31"/>
  <c r="P496" i="31"/>
  <c r="R500" i="31"/>
  <c r="N505" i="31"/>
  <c r="U510" i="31"/>
  <c r="P516" i="31"/>
  <c r="Q532" i="31"/>
  <c r="M557" i="31"/>
  <c r="O479" i="31"/>
  <c r="Q481" i="31"/>
  <c r="J486" i="31"/>
  <c r="L488" i="31"/>
  <c r="O492" i="31"/>
  <c r="Q494" i="31"/>
  <c r="K497" i="31"/>
  <c r="P501" i="31"/>
  <c r="O505" i="31"/>
  <c r="P513" i="31"/>
  <c r="S237" i="31"/>
  <c r="R275" i="31"/>
  <c r="K245" i="31"/>
  <c r="R264" i="31"/>
  <c r="K237" i="31"/>
  <c r="J239" i="31"/>
  <c r="K240" i="31"/>
  <c r="Q241" i="31"/>
  <c r="N249" i="31"/>
  <c r="K251" i="31"/>
  <c r="R252" i="31"/>
  <c r="N254" i="31"/>
  <c r="T255" i="31"/>
  <c r="J259" i="31"/>
  <c r="L240" i="31"/>
  <c r="S249" i="31"/>
  <c r="S252" i="31"/>
  <c r="O254" i="31"/>
  <c r="S243" i="31"/>
  <c r="N260" i="31"/>
  <c r="S275" i="31"/>
  <c r="Q239" i="31"/>
  <c r="O246" i="31"/>
  <c r="U247" i="31"/>
  <c r="O257" i="31"/>
  <c r="M268" i="31"/>
  <c r="N246" i="31"/>
  <c r="O241" i="31"/>
  <c r="P246" i="31"/>
  <c r="Q255" i="31"/>
  <c r="T260" i="31"/>
  <c r="N268" i="31"/>
  <c r="M238" i="31"/>
  <c r="T243" i="31"/>
  <c r="O260" i="31"/>
  <c r="U238" i="31"/>
  <c r="P241" i="31"/>
  <c r="M249" i="31"/>
  <c r="U250" i="31"/>
  <c r="Q252" i="31"/>
  <c r="S255" i="31"/>
  <c r="V40" i="31"/>
  <c r="Y40" i="31" s="1"/>
  <c r="J478" i="31"/>
  <c r="L435" i="31"/>
  <c r="J410" i="31"/>
  <c r="J413" i="31"/>
  <c r="V41" i="31"/>
  <c r="Y41" i="31" s="1"/>
  <c r="V46" i="31"/>
  <c r="Y46" i="31" s="1"/>
  <c r="V52" i="31"/>
  <c r="Y52" i="31" s="1"/>
  <c r="V59" i="31"/>
  <c r="Y59" i="31" s="1"/>
  <c r="V61" i="31"/>
  <c r="Y61" i="31" s="1"/>
  <c r="V63" i="31"/>
  <c r="Y63" i="31" s="1"/>
  <c r="V65" i="31"/>
  <c r="Y65" i="31" s="1"/>
  <c r="V67" i="31"/>
  <c r="Y67" i="31" s="1"/>
  <c r="V69" i="31"/>
  <c r="Y69" i="31" s="1"/>
  <c r="L466" i="31"/>
  <c r="R471" i="31"/>
  <c r="V9" i="31"/>
  <c r="Y9" i="31" s="1"/>
  <c r="V11" i="31"/>
  <c r="Y11" i="31" s="1"/>
  <c r="V13" i="31"/>
  <c r="Y13" i="31" s="1"/>
  <c r="V17" i="31"/>
  <c r="Y17" i="31" s="1"/>
  <c r="V19" i="31"/>
  <c r="Y19" i="31" s="1"/>
  <c r="V21" i="31"/>
  <c r="Y21" i="31" s="1"/>
  <c r="V27" i="31"/>
  <c r="Y27" i="31" s="1"/>
  <c r="V29" i="31"/>
  <c r="Y29" i="31" s="1"/>
  <c r="V31" i="31"/>
  <c r="Y31" i="31" s="1"/>
  <c r="V33" i="31"/>
  <c r="Y33" i="31" s="1"/>
  <c r="V35" i="31"/>
  <c r="Y35" i="31" s="1"/>
  <c r="V37" i="31"/>
  <c r="Y37" i="31" s="1"/>
  <c r="V39" i="31"/>
  <c r="Y39" i="31" s="1"/>
  <c r="U557" i="31"/>
  <c r="M412" i="31"/>
  <c r="L452" i="31"/>
  <c r="M403" i="31"/>
  <c r="K417" i="31"/>
  <c r="V50" i="31"/>
  <c r="Y50" i="31" s="1"/>
  <c r="V53" i="31"/>
  <c r="Y53" i="31" s="1"/>
  <c r="N557" i="31"/>
  <c r="V58" i="31"/>
  <c r="Y58" i="31" s="1"/>
  <c r="V60" i="31"/>
  <c r="Y60" i="31" s="1"/>
  <c r="V62" i="31"/>
  <c r="Y62" i="31" s="1"/>
  <c r="V64" i="31"/>
  <c r="Y64" i="31" s="1"/>
  <c r="V66" i="31"/>
  <c r="Y66" i="31" s="1"/>
  <c r="V68" i="31"/>
  <c r="Y68" i="31" s="1"/>
  <c r="U552" i="31"/>
  <c r="J404" i="31"/>
  <c r="L418" i="31"/>
  <c r="V6" i="31"/>
  <c r="Y6" i="31" s="1"/>
  <c r="V10" i="31"/>
  <c r="Y10" i="31" s="1"/>
  <c r="V16" i="31"/>
  <c r="Y16" i="31" s="1"/>
  <c r="V18" i="31"/>
  <c r="Y18" i="31" s="1"/>
  <c r="V20" i="31"/>
  <c r="Y20" i="31" s="1"/>
  <c r="V22" i="31"/>
  <c r="Y22" i="31" s="1"/>
  <c r="V24" i="31"/>
  <c r="Y24" i="31" s="1"/>
  <c r="V26" i="31"/>
  <c r="Y26" i="31" s="1"/>
  <c r="V28" i="31"/>
  <c r="Y28" i="31" s="1"/>
  <c r="V30" i="31"/>
  <c r="Y30" i="31" s="1"/>
  <c r="V34" i="31"/>
  <c r="Y34" i="31" s="1"/>
  <c r="V36" i="31"/>
  <c r="Y36" i="31" s="1"/>
  <c r="V38" i="31"/>
  <c r="Y38" i="31" s="1"/>
  <c r="U553" i="31"/>
  <c r="M406" i="31"/>
  <c r="S424" i="31"/>
  <c r="U313" i="31"/>
  <c r="J407" i="31"/>
  <c r="M426" i="31"/>
  <c r="M409" i="31"/>
  <c r="K76" i="27"/>
  <c r="S292" i="31"/>
  <c r="Q293" i="31"/>
  <c r="Q292" i="31"/>
  <c r="S481" i="31"/>
  <c r="S240" i="31"/>
  <c r="M309" i="31"/>
  <c r="M551" i="31"/>
  <c r="M312" i="31"/>
  <c r="M313" i="31"/>
  <c r="M555" i="31"/>
  <c r="U478" i="31"/>
  <c r="U237" i="31"/>
  <c r="V48" i="31"/>
  <c r="Y48" i="31" s="1"/>
  <c r="N550" i="31"/>
  <c r="N310" i="31"/>
  <c r="N311" i="31"/>
  <c r="N314" i="31"/>
  <c r="J237" i="31"/>
  <c r="V7" i="31"/>
  <c r="Y7" i="31" s="1"/>
  <c r="V49" i="31"/>
  <c r="Y49" i="31" s="1"/>
  <c r="O310" i="31"/>
  <c r="O311" i="31"/>
  <c r="O553" i="31"/>
  <c r="O554" i="31"/>
  <c r="O314" i="31"/>
  <c r="O556" i="31"/>
  <c r="L479" i="31"/>
  <c r="L238" i="31"/>
  <c r="V8" i="31"/>
  <c r="Y8" i="31" s="1"/>
  <c r="V32" i="31"/>
  <c r="Y32" i="31" s="1"/>
  <c r="P309" i="31"/>
  <c r="P310" i="31"/>
  <c r="P552" i="31"/>
  <c r="P554" i="31"/>
  <c r="P314" i="31"/>
  <c r="Q316" i="31"/>
  <c r="T237" i="31"/>
  <c r="L245" i="31"/>
  <c r="V5" i="31"/>
  <c r="Y5" i="31" s="1"/>
  <c r="U484" i="31"/>
  <c r="U243" i="31"/>
  <c r="Q554" i="31"/>
  <c r="R556" i="31"/>
  <c r="R554" i="31"/>
  <c r="R310" i="31"/>
  <c r="R552" i="31"/>
  <c r="S555" i="31"/>
  <c r="S315" i="31"/>
  <c r="V23" i="31"/>
  <c r="Y23" i="31" s="1"/>
  <c r="S551" i="31"/>
  <c r="T554" i="31"/>
  <c r="T555" i="31"/>
  <c r="T556" i="31"/>
  <c r="T316" i="31"/>
  <c r="J240" i="31"/>
  <c r="M257" i="31"/>
  <c r="V12" i="31"/>
  <c r="Y12" i="31" s="1"/>
  <c r="T309" i="31"/>
  <c r="T551" i="31"/>
  <c r="N257" i="31"/>
  <c r="J272" i="31"/>
  <c r="V25" i="31"/>
  <c r="Y25" i="31" s="1"/>
  <c r="U551" i="31"/>
  <c r="U309" i="31"/>
  <c r="U168" i="31"/>
  <c r="U180" i="31"/>
  <c r="V14" i="31"/>
  <c r="Y14" i="31" s="1"/>
  <c r="K500" i="31"/>
  <c r="K259" i="31"/>
  <c r="V57" i="31"/>
  <c r="Y57" i="31" s="1"/>
  <c r="J554" i="31"/>
  <c r="J555" i="31"/>
  <c r="J556" i="31"/>
  <c r="J316" i="31"/>
  <c r="U211" i="31"/>
  <c r="U210" i="31"/>
  <c r="U209" i="31"/>
  <c r="U208" i="31"/>
  <c r="U207" i="31"/>
  <c r="U195" i="31"/>
  <c r="U194" i="31"/>
  <c r="U193" i="31"/>
  <c r="U192" i="31"/>
  <c r="U191" i="31"/>
  <c r="J225" i="31"/>
  <c r="U162" i="31"/>
  <c r="U165" i="31"/>
  <c r="U175" i="31"/>
  <c r="M486" i="31"/>
  <c r="M245" i="31"/>
  <c r="V15" i="31"/>
  <c r="Y15" i="31" s="1"/>
  <c r="K551" i="31"/>
  <c r="K311" i="31"/>
  <c r="K313" i="31"/>
  <c r="K556" i="31"/>
  <c r="V44" i="31"/>
  <c r="Y44" i="31" s="1"/>
  <c r="L312" i="31"/>
  <c r="L556" i="31"/>
  <c r="U177" i="31"/>
  <c r="U190" i="31"/>
  <c r="O265" i="31"/>
  <c r="K269" i="31"/>
  <c r="T272" i="31"/>
  <c r="K239" i="31"/>
  <c r="P240" i="31"/>
  <c r="R241" i="31"/>
  <c r="L244" i="31"/>
  <c r="N245" i="31"/>
  <c r="Q246" i="31"/>
  <c r="T249" i="31"/>
  <c r="L251" i="31"/>
  <c r="T252" i="31"/>
  <c r="P254" i="31"/>
  <c r="L256" i="31"/>
  <c r="Q257" i="31"/>
  <c r="L259" i="31"/>
  <c r="U260" i="31"/>
  <c r="P265" i="31"/>
  <c r="L269" i="31"/>
  <c r="U272" i="31"/>
  <c r="T293" i="31"/>
  <c r="L316" i="31"/>
  <c r="J238" i="31"/>
  <c r="L239" i="31"/>
  <c r="Q240" i="31"/>
  <c r="S241" i="31"/>
  <c r="M244" i="31"/>
  <c r="O245" i="31"/>
  <c r="U249" i="31"/>
  <c r="Q251" i="31"/>
  <c r="Q254" i="31"/>
  <c r="M256" i="31"/>
  <c r="R257" i="31"/>
  <c r="M259" i="31"/>
  <c r="Q265" i="31"/>
  <c r="M269" i="31"/>
  <c r="U315" i="31"/>
  <c r="M311" i="31"/>
  <c r="O309" i="31"/>
  <c r="S293" i="31"/>
  <c r="T292" i="31"/>
  <c r="S316" i="31"/>
  <c r="U314" i="31"/>
  <c r="K312" i="31"/>
  <c r="L311" i="31"/>
  <c r="R316" i="31"/>
  <c r="P316" i="31"/>
  <c r="Q315" i="31"/>
  <c r="R314" i="31"/>
  <c r="S313" i="31"/>
  <c r="T312" i="31"/>
  <c r="U311" i="31"/>
  <c r="J310" i="31"/>
  <c r="O316" i="31"/>
  <c r="P315" i="31"/>
  <c r="Q314" i="31"/>
  <c r="R313" i="31"/>
  <c r="S312" i="31"/>
  <c r="T311" i="31"/>
  <c r="J309" i="31"/>
  <c r="Q312" i="31"/>
  <c r="P293" i="31"/>
  <c r="P292" i="31"/>
  <c r="Q291" i="31"/>
  <c r="P275" i="31"/>
  <c r="Q274" i="31"/>
  <c r="R273" i="31"/>
  <c r="S272" i="31"/>
  <c r="T271" i="31"/>
  <c r="U270" i="31"/>
  <c r="J269" i="31"/>
  <c r="K268" i="31"/>
  <c r="L267" i="31"/>
  <c r="M266" i="31"/>
  <c r="N265" i="31"/>
  <c r="O264" i="31"/>
  <c r="P263" i="31"/>
  <c r="R261" i="31"/>
  <c r="S260" i="31"/>
  <c r="T259" i="31"/>
  <c r="U258" i="31"/>
  <c r="J257" i="31"/>
  <c r="K256" i="31"/>
  <c r="L255" i="31"/>
  <c r="M254" i="31"/>
  <c r="N253" i="31"/>
  <c r="O252" i="31"/>
  <c r="P251" i="31"/>
  <c r="Q250" i="31"/>
  <c r="R249" i="31"/>
  <c r="T247" i="31"/>
  <c r="U246" i="31"/>
  <c r="J245" i="31"/>
  <c r="K244" i="31"/>
  <c r="L243" i="31"/>
  <c r="N241" i="31"/>
  <c r="O240" i="31"/>
  <c r="P239" i="31"/>
  <c r="Q238" i="31"/>
  <c r="R237" i="31"/>
  <c r="L314" i="31"/>
  <c r="P312" i="31"/>
  <c r="S309" i="31"/>
  <c r="O293" i="31"/>
  <c r="O292" i="31"/>
  <c r="P291" i="31"/>
  <c r="O275" i="31"/>
  <c r="P274" i="31"/>
  <c r="Q273" i="31"/>
  <c r="R272" i="31"/>
  <c r="S271" i="31"/>
  <c r="T270" i="31"/>
  <c r="U269" i="31"/>
  <c r="J268" i="31"/>
  <c r="K267" i="31"/>
  <c r="L266" i="31"/>
  <c r="M265" i="31"/>
  <c r="N264" i="31"/>
  <c r="O263" i="31"/>
  <c r="Q261" i="31"/>
  <c r="R260" i="31"/>
  <c r="S259" i="31"/>
  <c r="T258" i="31"/>
  <c r="U257" i="31"/>
  <c r="J256" i="31"/>
  <c r="K255" i="31"/>
  <c r="L254" i="31"/>
  <c r="M253" i="31"/>
  <c r="N252" i="31"/>
  <c r="O251" i="31"/>
  <c r="P250" i="31"/>
  <c r="Q249" i="31"/>
  <c r="S247" i="31"/>
  <c r="T246" i="31"/>
  <c r="U245" i="31"/>
  <c r="J244" i="31"/>
  <c r="K243" i="31"/>
  <c r="M241" i="31"/>
  <c r="N240" i="31"/>
  <c r="O239" i="31"/>
  <c r="P238" i="31"/>
  <c r="Q237" i="31"/>
  <c r="K314" i="31"/>
  <c r="O312" i="31"/>
  <c r="J311" i="31"/>
  <c r="R309" i="31"/>
  <c r="N293" i="31"/>
  <c r="N292" i="31"/>
  <c r="O291" i="31"/>
  <c r="N275" i="31"/>
  <c r="O274" i="31"/>
  <c r="P273" i="31"/>
  <c r="Q272" i="31"/>
  <c r="R271" i="31"/>
  <c r="S270" i="31"/>
  <c r="T269" i="31"/>
  <c r="U268" i="31"/>
  <c r="J267" i="31"/>
  <c r="K266" i="31"/>
  <c r="L265" i="31"/>
  <c r="M264" i="31"/>
  <c r="N263" i="31"/>
  <c r="P261" i="31"/>
  <c r="Q260" i="31"/>
  <c r="R259" i="31"/>
  <c r="S258" i="31"/>
  <c r="T257" i="31"/>
  <c r="U256" i="31"/>
  <c r="J255" i="31"/>
  <c r="K254" i="31"/>
  <c r="L253" i="31"/>
  <c r="M252" i="31"/>
  <c r="N251" i="31"/>
  <c r="O250" i="31"/>
  <c r="P249" i="31"/>
  <c r="R247" i="31"/>
  <c r="S246" i="31"/>
  <c r="T245" i="31"/>
  <c r="U244" i="31"/>
  <c r="J243" i="31"/>
  <c r="L241" i="31"/>
  <c r="M240" i="31"/>
  <c r="N239" i="31"/>
  <c r="O238" i="31"/>
  <c r="P237" i="31"/>
  <c r="N315" i="31"/>
  <c r="N312" i="31"/>
  <c r="Q309" i="31"/>
  <c r="M293" i="31"/>
  <c r="M292" i="31"/>
  <c r="N291" i="31"/>
  <c r="M275" i="31"/>
  <c r="N274" i="31"/>
  <c r="O273" i="31"/>
  <c r="P272" i="31"/>
  <c r="Q271" i="31"/>
  <c r="R270" i="31"/>
  <c r="S269" i="31"/>
  <c r="T268" i="31"/>
  <c r="U267" i="31"/>
  <c r="J266" i="31"/>
  <c r="K265" i="31"/>
  <c r="L264" i="31"/>
  <c r="M263" i="31"/>
  <c r="O261" i="31"/>
  <c r="P260" i="31"/>
  <c r="Q259" i="31"/>
  <c r="R258" i="31"/>
  <c r="S257" i="31"/>
  <c r="T256" i="31"/>
  <c r="U255" i="31"/>
  <c r="J254" i="31"/>
  <c r="K253" i="31"/>
  <c r="L252" i="31"/>
  <c r="M251" i="31"/>
  <c r="N250" i="31"/>
  <c r="O249" i="31"/>
  <c r="Q247" i="31"/>
  <c r="R246" i="31"/>
  <c r="S245" i="31"/>
  <c r="M315" i="31"/>
  <c r="Q313" i="31"/>
  <c r="S310" i="31"/>
  <c r="L293" i="31"/>
  <c r="L292" i="31"/>
  <c r="M291" i="31"/>
  <c r="L275" i="31"/>
  <c r="M274" i="31"/>
  <c r="N273" i="31"/>
  <c r="O272" i="31"/>
  <c r="P271" i="31"/>
  <c r="Q270" i="31"/>
  <c r="R269" i="31"/>
  <c r="S268" i="31"/>
  <c r="T267" i="31"/>
  <c r="U266" i="31"/>
  <c r="J265" i="31"/>
  <c r="K264" i="31"/>
  <c r="L263" i="31"/>
  <c r="P313" i="31"/>
  <c r="J312" i="31"/>
  <c r="K293" i="31"/>
  <c r="K292" i="31"/>
  <c r="L291" i="31"/>
  <c r="K275" i="31"/>
  <c r="L274" i="31"/>
  <c r="M273" i="31"/>
  <c r="N272" i="31"/>
  <c r="O271" i="31"/>
  <c r="P270" i="31"/>
  <c r="Q269" i="31"/>
  <c r="R268" i="31"/>
  <c r="S267" i="31"/>
  <c r="T266" i="31"/>
  <c r="U265" i="31"/>
  <c r="Q310" i="31"/>
  <c r="L309" i="31"/>
  <c r="J292" i="31"/>
  <c r="K291" i="31"/>
  <c r="J275" i="31"/>
  <c r="K274" i="31"/>
  <c r="L273" i="31"/>
  <c r="M272" i="31"/>
  <c r="N271" i="31"/>
  <c r="O270" i="31"/>
  <c r="P269" i="31"/>
  <c r="Q268" i="31"/>
  <c r="R267" i="31"/>
  <c r="S266" i="31"/>
  <c r="T265" i="31"/>
  <c r="U264" i="31"/>
  <c r="J263" i="31"/>
  <c r="L261" i="31"/>
  <c r="M260" i="31"/>
  <c r="N259" i="31"/>
  <c r="O258" i="31"/>
  <c r="P257" i="31"/>
  <c r="Q256" i="31"/>
  <c r="R255" i="31"/>
  <c r="S254" i="31"/>
  <c r="T253" i="31"/>
  <c r="U252" i="31"/>
  <c r="J251" i="31"/>
  <c r="K250" i="31"/>
  <c r="L249" i="31"/>
  <c r="N316" i="31"/>
  <c r="N313" i="31"/>
  <c r="S311" i="31"/>
  <c r="J291" i="31"/>
  <c r="U275" i="31"/>
  <c r="J274" i="31"/>
  <c r="K273" i="31"/>
  <c r="L272" i="31"/>
  <c r="M271" i="31"/>
  <c r="N270" i="31"/>
  <c r="O269" i="31"/>
  <c r="P268" i="31"/>
  <c r="Q267" i="31"/>
  <c r="R266" i="31"/>
  <c r="S265" i="31"/>
  <c r="T264" i="31"/>
  <c r="U263" i="31"/>
  <c r="M316" i="31"/>
  <c r="U293" i="31"/>
  <c r="U292" i="31"/>
  <c r="U291" i="31"/>
  <c r="T275" i="31"/>
  <c r="U274" i="31"/>
  <c r="J273" i="31"/>
  <c r="K272" i="31"/>
  <c r="L271" i="31"/>
  <c r="M270" i="31"/>
  <c r="N269" i="31"/>
  <c r="O268" i="31"/>
  <c r="P267" i="31"/>
  <c r="Q266" i="31"/>
  <c r="R265" i="31"/>
  <c r="S264" i="31"/>
  <c r="T263" i="31"/>
  <c r="K316" i="31"/>
  <c r="R293" i="31"/>
  <c r="R292" i="31"/>
  <c r="S291" i="31"/>
  <c r="K238" i="31"/>
  <c r="M239" i="31"/>
  <c r="R240" i="31"/>
  <c r="T241" i="31"/>
  <c r="N244" i="31"/>
  <c r="P245" i="31"/>
  <c r="J247" i="31"/>
  <c r="R251" i="31"/>
  <c r="J253" i="31"/>
  <c r="R254" i="31"/>
  <c r="N256" i="31"/>
  <c r="J258" i="31"/>
  <c r="O259" i="31"/>
  <c r="J261" i="31"/>
  <c r="N266" i="31"/>
  <c r="J270" i="31"/>
  <c r="S273" i="31"/>
  <c r="U241" i="31"/>
  <c r="M243" i="31"/>
  <c r="O244" i="31"/>
  <c r="Q245" i="31"/>
  <c r="K247" i="31"/>
  <c r="J250" i="31"/>
  <c r="S251" i="31"/>
  <c r="O253" i="31"/>
  <c r="T254" i="31"/>
  <c r="O256" i="31"/>
  <c r="K258" i="31"/>
  <c r="P259" i="31"/>
  <c r="K261" i="31"/>
  <c r="K263" i="31"/>
  <c r="O266" i="31"/>
  <c r="K270" i="31"/>
  <c r="T273" i="31"/>
  <c r="R239" i="31"/>
  <c r="T240" i="31"/>
  <c r="N243" i="31"/>
  <c r="P244" i="31"/>
  <c r="R245" i="31"/>
  <c r="L247" i="31"/>
  <c r="L250" i="31"/>
  <c r="T251" i="31"/>
  <c r="P253" i="31"/>
  <c r="U254" i="31"/>
  <c r="P256" i="31"/>
  <c r="L258" i="31"/>
  <c r="U259" i="31"/>
  <c r="M261" i="31"/>
  <c r="Q263" i="31"/>
  <c r="P266" i="31"/>
  <c r="L270" i="31"/>
  <c r="U273" i="31"/>
  <c r="L310" i="31"/>
  <c r="L237" i="31"/>
  <c r="N238" i="31"/>
  <c r="S239" i="31"/>
  <c r="U240" i="31"/>
  <c r="O243" i="31"/>
  <c r="Q244" i="31"/>
  <c r="J246" i="31"/>
  <c r="M247" i="31"/>
  <c r="M250" i="31"/>
  <c r="U251" i="31"/>
  <c r="Q253" i="31"/>
  <c r="M255" i="31"/>
  <c r="R256" i="31"/>
  <c r="M258" i="31"/>
  <c r="N261" i="31"/>
  <c r="R263" i="31"/>
  <c r="M267" i="31"/>
  <c r="R274" i="31"/>
  <c r="M237" i="31"/>
  <c r="R238" i="31"/>
  <c r="T239" i="31"/>
  <c r="P243" i="31"/>
  <c r="R244" i="31"/>
  <c r="K246" i="31"/>
  <c r="N247" i="31"/>
  <c r="R250" i="31"/>
  <c r="J252" i="31"/>
  <c r="R253" i="31"/>
  <c r="N255" i="31"/>
  <c r="S256" i="31"/>
  <c r="N258" i="31"/>
  <c r="J260" i="31"/>
  <c r="S261" i="31"/>
  <c r="S263" i="31"/>
  <c r="N267" i="31"/>
  <c r="J271" i="31"/>
  <c r="S274" i="31"/>
  <c r="Q311" i="31"/>
  <c r="N237" i="31"/>
  <c r="S238" i="31"/>
  <c r="U239" i="31"/>
  <c r="J241" i="31"/>
  <c r="Q243" i="31"/>
  <c r="S244" i="31"/>
  <c r="L246" i="31"/>
  <c r="O247" i="31"/>
  <c r="S250" i="31"/>
  <c r="K252" i="31"/>
  <c r="S253" i="31"/>
  <c r="O255" i="31"/>
  <c r="K257" i="31"/>
  <c r="P258" i="31"/>
  <c r="K260" i="31"/>
  <c r="T261" i="31"/>
  <c r="J264" i="31"/>
  <c r="O267" i="31"/>
  <c r="K271" i="31"/>
  <c r="T274" i="31"/>
  <c r="R291" i="31"/>
  <c r="R312" i="31"/>
  <c r="O237" i="31"/>
  <c r="T238" i="31"/>
  <c r="K241" i="31"/>
  <c r="R243" i="31"/>
  <c r="T244" i="31"/>
  <c r="M246" i="31"/>
  <c r="P247" i="31"/>
  <c r="K249" i="31"/>
  <c r="T250" i="31"/>
  <c r="P252" i="31"/>
  <c r="U253" i="31"/>
  <c r="P255" i="31"/>
  <c r="L257" i="31"/>
  <c r="Q258" i="31"/>
  <c r="L260" i="31"/>
  <c r="U261" i="31"/>
  <c r="P264" i="31"/>
  <c r="L268" i="31"/>
  <c r="U271" i="31"/>
  <c r="Q275" i="31"/>
  <c r="L313" i="31"/>
  <c r="P473" i="31"/>
  <c r="N473" i="31"/>
  <c r="U473" i="31"/>
  <c r="Q473" i="31"/>
  <c r="P472" i="31"/>
  <c r="Q471" i="31"/>
  <c r="R470" i="31"/>
  <c r="S469" i="31"/>
  <c r="T468" i="31"/>
  <c r="U467" i="31"/>
  <c r="J466" i="31"/>
  <c r="J452" i="31"/>
  <c r="J451" i="31"/>
  <c r="J450" i="31"/>
  <c r="J437" i="31"/>
  <c r="J436" i="31"/>
  <c r="J435" i="31"/>
  <c r="J434" i="31"/>
  <c r="J433" i="31"/>
  <c r="J432" i="31"/>
  <c r="J431" i="31"/>
  <c r="J430" i="31"/>
  <c r="J429" i="31"/>
  <c r="J428" i="31"/>
  <c r="J427" i="31"/>
  <c r="J426" i="31"/>
  <c r="O473" i="31"/>
  <c r="O472" i="31"/>
  <c r="P471" i="31"/>
  <c r="Q470" i="31"/>
  <c r="R469" i="31"/>
  <c r="S468" i="31"/>
  <c r="T467" i="31"/>
  <c r="U466" i="31"/>
  <c r="U452" i="31"/>
  <c r="U451" i="31"/>
  <c r="U450" i="31"/>
  <c r="U436" i="31"/>
  <c r="U435" i="31"/>
  <c r="U434" i="31"/>
  <c r="U433" i="31"/>
  <c r="U432" i="31"/>
  <c r="U431" i="31"/>
  <c r="U430" i="31"/>
  <c r="U429" i="31"/>
  <c r="U428" i="31"/>
  <c r="U427" i="31"/>
  <c r="U426" i="31"/>
  <c r="U425" i="31"/>
  <c r="U424" i="31"/>
  <c r="U423" i="31"/>
  <c r="U422" i="31"/>
  <c r="U421" i="31"/>
  <c r="U420" i="31"/>
  <c r="U419" i="31"/>
  <c r="U418" i="31"/>
  <c r="M473" i="31"/>
  <c r="N472" i="31"/>
  <c r="O471" i="31"/>
  <c r="P470" i="31"/>
  <c r="Q469" i="31"/>
  <c r="R468" i="31"/>
  <c r="S467" i="31"/>
  <c r="T466" i="31"/>
  <c r="T452" i="31"/>
  <c r="T451" i="31"/>
  <c r="T450" i="31"/>
  <c r="T436" i="31"/>
  <c r="T435" i="31"/>
  <c r="T434" i="31"/>
  <c r="T433" i="31"/>
  <c r="T432" i="31"/>
  <c r="T431" i="31"/>
  <c r="T430" i="31"/>
  <c r="T429" i="31"/>
  <c r="T428" i="31"/>
  <c r="T427" i="31"/>
  <c r="T426" i="31"/>
  <c r="T425" i="31"/>
  <c r="T424" i="31"/>
  <c r="T423" i="31"/>
  <c r="T422" i="31"/>
  <c r="T421" i="31"/>
  <c r="T420" i="31"/>
  <c r="T419" i="31"/>
  <c r="T418" i="31"/>
  <c r="T417" i="31"/>
  <c r="T416" i="31"/>
  <c r="T415" i="31"/>
  <c r="L473" i="31"/>
  <c r="M472" i="31"/>
  <c r="N471" i="31"/>
  <c r="O470" i="31"/>
  <c r="P469" i="31"/>
  <c r="Q468" i="31"/>
  <c r="R467" i="31"/>
  <c r="S466" i="31"/>
  <c r="S452" i="31"/>
  <c r="S451" i="31"/>
  <c r="S450" i="31"/>
  <c r="S436" i="31"/>
  <c r="S435" i="31"/>
  <c r="S434" i="31"/>
  <c r="S433" i="31"/>
  <c r="S432" i="31"/>
  <c r="S431" i="31"/>
  <c r="S430" i="31"/>
  <c r="S429" i="31"/>
  <c r="S428" i="31"/>
  <c r="S427" i="31"/>
  <c r="J473" i="31"/>
  <c r="K472" i="31"/>
  <c r="L471" i="31"/>
  <c r="M470" i="31"/>
  <c r="N469" i="31"/>
  <c r="O468" i="31"/>
  <c r="P467" i="31"/>
  <c r="Q466" i="31"/>
  <c r="Q452" i="31"/>
  <c r="Q451" i="31"/>
  <c r="Q450" i="31"/>
  <c r="Q436" i="31"/>
  <c r="Q435" i="31"/>
  <c r="Q434" i="31"/>
  <c r="Q433" i="31"/>
  <c r="Q432" i="31"/>
  <c r="Q431" i="31"/>
  <c r="Q430" i="31"/>
  <c r="Q429" i="31"/>
  <c r="Q428" i="31"/>
  <c r="Q427" i="31"/>
  <c r="Q426" i="31"/>
  <c r="Q425" i="31"/>
  <c r="Q424" i="31"/>
  <c r="Q423" i="31"/>
  <c r="Q422" i="31"/>
  <c r="Q421" i="31"/>
  <c r="Q420" i="31"/>
  <c r="Q419" i="31"/>
  <c r="Q418" i="31"/>
  <c r="U472" i="31"/>
  <c r="J471" i="31"/>
  <c r="K470" i="31"/>
  <c r="L469" i="31"/>
  <c r="M468" i="31"/>
  <c r="N467" i="31"/>
  <c r="O466" i="31"/>
  <c r="O452" i="31"/>
  <c r="O451" i="31"/>
  <c r="O450" i="31"/>
  <c r="O436" i="31"/>
  <c r="O435" i="31"/>
  <c r="O434" i="31"/>
  <c r="O433" i="31"/>
  <c r="O432" i="31"/>
  <c r="M471" i="31"/>
  <c r="O469" i="31"/>
  <c r="Q467" i="31"/>
  <c r="K466" i="31"/>
  <c r="K452" i="31"/>
  <c r="K450" i="31"/>
  <c r="K435" i="31"/>
  <c r="K433" i="31"/>
  <c r="L431" i="31"/>
  <c r="N429" i="31"/>
  <c r="P427" i="31"/>
  <c r="L426" i="31"/>
  <c r="R424" i="31"/>
  <c r="N423" i="31"/>
  <c r="K422" i="31"/>
  <c r="R420" i="31"/>
  <c r="N419" i="31"/>
  <c r="K418" i="31"/>
  <c r="J417" i="31"/>
  <c r="U415" i="31"/>
  <c r="T414" i="31"/>
  <c r="T413" i="31"/>
  <c r="T412" i="31"/>
  <c r="T411" i="31"/>
  <c r="T410" i="31"/>
  <c r="T409" i="31"/>
  <c r="T408" i="31"/>
  <c r="T407" i="31"/>
  <c r="T406" i="31"/>
  <c r="T405" i="31"/>
  <c r="T404" i="31"/>
  <c r="T403" i="31"/>
  <c r="T402" i="31"/>
  <c r="T401" i="31"/>
  <c r="T472" i="31"/>
  <c r="K471" i="31"/>
  <c r="M469" i="31"/>
  <c r="O467" i="31"/>
  <c r="R451" i="31"/>
  <c r="R436" i="31"/>
  <c r="R434" i="31"/>
  <c r="R432" i="31"/>
  <c r="K431" i="31"/>
  <c r="M429" i="31"/>
  <c r="O427" i="31"/>
  <c r="K426" i="31"/>
  <c r="P424" i="31"/>
  <c r="M423" i="31"/>
  <c r="J422" i="31"/>
  <c r="P420" i="31"/>
  <c r="M419" i="31"/>
  <c r="J418" i="31"/>
  <c r="U416" i="31"/>
  <c r="S415" i="31"/>
  <c r="S414" i="31"/>
  <c r="S413" i="31"/>
  <c r="S412" i="31"/>
  <c r="S411" i="31"/>
  <c r="S410" i="31"/>
  <c r="S409" i="31"/>
  <c r="S408" i="31"/>
  <c r="S407" i="31"/>
  <c r="S406" i="31"/>
  <c r="S405" i="31"/>
  <c r="S404" i="31"/>
  <c r="S403" i="31"/>
  <c r="S402" i="31"/>
  <c r="S401" i="31"/>
  <c r="S472" i="31"/>
  <c r="K469" i="31"/>
  <c r="M467" i="31"/>
  <c r="P451" i="31"/>
  <c r="P436" i="31"/>
  <c r="P434" i="31"/>
  <c r="P432" i="31"/>
  <c r="R430" i="31"/>
  <c r="L429" i="31"/>
  <c r="N427" i="31"/>
  <c r="S425" i="31"/>
  <c r="O424" i="31"/>
  <c r="L423" i="31"/>
  <c r="S421" i="31"/>
  <c r="O420" i="31"/>
  <c r="L419" i="31"/>
  <c r="U417" i="31"/>
  <c r="S416" i="31"/>
  <c r="R415" i="31"/>
  <c r="R414" i="31"/>
  <c r="R413" i="31"/>
  <c r="R412" i="31"/>
  <c r="R411" i="31"/>
  <c r="R410" i="31"/>
  <c r="R409" i="31"/>
  <c r="R408" i="31"/>
  <c r="R407" i="31"/>
  <c r="R406" i="31"/>
  <c r="R405" i="31"/>
  <c r="R404" i="31"/>
  <c r="R403" i="31"/>
  <c r="R402" i="31"/>
  <c r="R401" i="31"/>
  <c r="R472" i="31"/>
  <c r="U470" i="31"/>
  <c r="J469" i="31"/>
  <c r="L467" i="31"/>
  <c r="N451" i="31"/>
  <c r="N436" i="31"/>
  <c r="N434" i="31"/>
  <c r="N432" i="31"/>
  <c r="P430" i="31"/>
  <c r="K429" i="31"/>
  <c r="M427" i="31"/>
  <c r="R425" i="31"/>
  <c r="N424" i="31"/>
  <c r="K423" i="31"/>
  <c r="R421" i="31"/>
  <c r="N420" i="31"/>
  <c r="K419" i="31"/>
  <c r="S417" i="31"/>
  <c r="R416" i="31"/>
  <c r="Q415" i="31"/>
  <c r="Q414" i="31"/>
  <c r="Q413" i="31"/>
  <c r="Q412" i="31"/>
  <c r="Q411" i="31"/>
  <c r="Q410" i="31"/>
  <c r="Q409" i="31"/>
  <c r="Q408" i="31"/>
  <c r="Q407" i="31"/>
  <c r="Q406" i="31"/>
  <c r="Q405" i="31"/>
  <c r="Q404" i="31"/>
  <c r="Q403" i="31"/>
  <c r="Q402" i="31"/>
  <c r="Q401" i="31"/>
  <c r="Q472" i="31"/>
  <c r="T470" i="31"/>
  <c r="K467" i="31"/>
  <c r="M451" i="31"/>
  <c r="M436" i="31"/>
  <c r="M434" i="31"/>
  <c r="M432" i="31"/>
  <c r="O430" i="31"/>
  <c r="R428" i="31"/>
  <c r="L427" i="31"/>
  <c r="P425" i="31"/>
  <c r="M424" i="31"/>
  <c r="J423" i="31"/>
  <c r="P421" i="31"/>
  <c r="M420" i="31"/>
  <c r="J419" i="31"/>
  <c r="R417" i="31"/>
  <c r="Q416" i="31"/>
  <c r="P415" i="31"/>
  <c r="P414" i="31"/>
  <c r="P413" i="31"/>
  <c r="P412" i="31"/>
  <c r="P411" i="31"/>
  <c r="P410" i="31"/>
  <c r="P409" i="31"/>
  <c r="P408" i="31"/>
  <c r="P407" i="31"/>
  <c r="P406" i="31"/>
  <c r="P405" i="31"/>
  <c r="P404" i="31"/>
  <c r="P403" i="31"/>
  <c r="P402" i="31"/>
  <c r="P401" i="31"/>
  <c r="L472" i="31"/>
  <c r="S470" i="31"/>
  <c r="U468" i="31"/>
  <c r="J467" i="31"/>
  <c r="L451" i="31"/>
  <c r="L436" i="31"/>
  <c r="L434" i="31"/>
  <c r="L432" i="31"/>
  <c r="N430" i="31"/>
  <c r="P428" i="31"/>
  <c r="K427" i="31"/>
  <c r="O425" i="31"/>
  <c r="L424" i="31"/>
  <c r="S422" i="31"/>
  <c r="O421" i="31"/>
  <c r="L420" i="31"/>
  <c r="S418" i="31"/>
  <c r="Q417" i="31"/>
  <c r="P416" i="31"/>
  <c r="O415" i="31"/>
  <c r="O414" i="31"/>
  <c r="O413" i="31"/>
  <c r="O412" i="31"/>
  <c r="O411" i="31"/>
  <c r="O410" i="31"/>
  <c r="O409" i="31"/>
  <c r="O408" i="31"/>
  <c r="O407" i="31"/>
  <c r="O406" i="31"/>
  <c r="O405" i="31"/>
  <c r="O404" i="31"/>
  <c r="O403" i="31"/>
  <c r="O402" i="31"/>
  <c r="O401" i="31"/>
  <c r="J472" i="31"/>
  <c r="N470" i="31"/>
  <c r="P468" i="31"/>
  <c r="K451" i="31"/>
  <c r="K436" i="31"/>
  <c r="K434" i="31"/>
  <c r="K432" i="31"/>
  <c r="M430" i="31"/>
  <c r="O428" i="31"/>
  <c r="S426" i="31"/>
  <c r="N425" i="31"/>
  <c r="R422" i="31"/>
  <c r="N421" i="31"/>
  <c r="K420" i="31"/>
  <c r="R418" i="31"/>
  <c r="P417" i="31"/>
  <c r="O416" i="31"/>
  <c r="N415" i="31"/>
  <c r="N414" i="31"/>
  <c r="N413" i="31"/>
  <c r="N412" i="31"/>
  <c r="N411" i="31"/>
  <c r="N410" i="31"/>
  <c r="N409" i="31"/>
  <c r="N408" i="31"/>
  <c r="N407" i="31"/>
  <c r="N406" i="31"/>
  <c r="N405" i="31"/>
  <c r="N404" i="31"/>
  <c r="N403" i="31"/>
  <c r="N402" i="31"/>
  <c r="N401" i="31"/>
  <c r="L470" i="31"/>
  <c r="N468" i="31"/>
  <c r="R466" i="31"/>
  <c r="R452" i="31"/>
  <c r="R450" i="31"/>
  <c r="R435" i="31"/>
  <c r="R433" i="31"/>
  <c r="R431" i="31"/>
  <c r="L430" i="31"/>
  <c r="N428" i="31"/>
  <c r="R426" i="31"/>
  <c r="M425" i="31"/>
  <c r="J424" i="31"/>
  <c r="P422" i="31"/>
  <c r="M421" i="31"/>
  <c r="J420" i="31"/>
  <c r="P418" i="31"/>
  <c r="O417" i="31"/>
  <c r="N416" i="31"/>
  <c r="M415" i="31"/>
  <c r="M414" i="31"/>
  <c r="T473" i="31"/>
  <c r="U471" i="31"/>
  <c r="J470" i="31"/>
  <c r="L468" i="31"/>
  <c r="P466" i="31"/>
  <c r="P452" i="31"/>
  <c r="P450" i="31"/>
  <c r="P435" i="31"/>
  <c r="P433" i="31"/>
  <c r="P431" i="31"/>
  <c r="K430" i="31"/>
  <c r="M428" i="31"/>
  <c r="P426" i="31"/>
  <c r="L425" i="31"/>
  <c r="S423" i="31"/>
  <c r="O422" i="31"/>
  <c r="L421" i="31"/>
  <c r="S419" i="31"/>
  <c r="O418" i="31"/>
  <c r="N417" i="31"/>
  <c r="M416" i="31"/>
  <c r="L415" i="31"/>
  <c r="L414" i="31"/>
  <c r="L413" i="31"/>
  <c r="L412" i="31"/>
  <c r="L411" i="31"/>
  <c r="L410" i="31"/>
  <c r="L409" i="31"/>
  <c r="L408" i="31"/>
  <c r="L407" i="31"/>
  <c r="L406" i="31"/>
  <c r="L405" i="31"/>
  <c r="L404" i="31"/>
  <c r="L403" i="31"/>
  <c r="L402" i="31"/>
  <c r="L401" i="31"/>
  <c r="S473" i="31"/>
  <c r="T471" i="31"/>
  <c r="K468" i="31"/>
  <c r="N466" i="31"/>
  <c r="N452" i="31"/>
  <c r="N450" i="31"/>
  <c r="N435" i="31"/>
  <c r="N433" i="31"/>
  <c r="O431" i="31"/>
  <c r="R429" i="31"/>
  <c r="L428" i="31"/>
  <c r="O426" i="31"/>
  <c r="K425" i="31"/>
  <c r="R423" i="31"/>
  <c r="N422" i="31"/>
  <c r="K421" i="31"/>
  <c r="R419" i="31"/>
  <c r="N418" i="31"/>
  <c r="M417" i="31"/>
  <c r="L416" i="31"/>
  <c r="K415" i="31"/>
  <c r="U403" i="31"/>
  <c r="U406" i="31"/>
  <c r="U409" i="31"/>
  <c r="U412" i="31"/>
  <c r="L417" i="31"/>
  <c r="J425" i="31"/>
  <c r="M435" i="31"/>
  <c r="M452" i="31"/>
  <c r="S471" i="31"/>
  <c r="K401" i="31"/>
  <c r="K404" i="31"/>
  <c r="K407" i="31"/>
  <c r="K410" i="31"/>
  <c r="K413" i="31"/>
  <c r="M418" i="31"/>
  <c r="N426" i="31"/>
  <c r="M466" i="31"/>
  <c r="M401" i="31"/>
  <c r="M404" i="31"/>
  <c r="M407" i="31"/>
  <c r="M410" i="31"/>
  <c r="M413" i="31"/>
  <c r="O419" i="31"/>
  <c r="R427" i="31"/>
  <c r="K473" i="31"/>
  <c r="U401" i="31"/>
  <c r="U404" i="31"/>
  <c r="U407" i="31"/>
  <c r="U410" i="31"/>
  <c r="U413" i="31"/>
  <c r="P419" i="31"/>
  <c r="K428" i="31"/>
  <c r="R473" i="31"/>
  <c r="J402" i="31"/>
  <c r="J405" i="31"/>
  <c r="J408" i="31"/>
  <c r="J411" i="31"/>
  <c r="J414" i="31"/>
  <c r="S420" i="31"/>
  <c r="O429" i="31"/>
  <c r="J468" i="31"/>
  <c r="K402" i="31"/>
  <c r="K405" i="31"/>
  <c r="K408" i="31"/>
  <c r="K411" i="31"/>
  <c r="K414" i="31"/>
  <c r="J421" i="31"/>
  <c r="P429" i="31"/>
  <c r="M402" i="31"/>
  <c r="M405" i="31"/>
  <c r="M408" i="31"/>
  <c r="M411" i="31"/>
  <c r="U414" i="31"/>
  <c r="L422" i="31"/>
  <c r="M431" i="31"/>
  <c r="T469" i="31"/>
  <c r="U402" i="31"/>
  <c r="U405" i="31"/>
  <c r="U408" i="31"/>
  <c r="U411" i="31"/>
  <c r="J415" i="31"/>
  <c r="M422" i="31"/>
  <c r="N431" i="31"/>
  <c r="U469" i="31"/>
  <c r="J403" i="31"/>
  <c r="J406" i="31"/>
  <c r="J409" i="31"/>
  <c r="J412" i="31"/>
  <c r="J416" i="31"/>
  <c r="O423" i="31"/>
  <c r="L433" i="31"/>
  <c r="L450" i="31"/>
  <c r="K403" i="31"/>
  <c r="K406" i="31"/>
  <c r="K409" i="31"/>
  <c r="K412" i="31"/>
  <c r="K416" i="31"/>
  <c r="P423" i="31"/>
  <c r="M433" i="31"/>
  <c r="M450" i="31"/>
  <c r="P557" i="31"/>
  <c r="S554" i="31"/>
  <c r="L557" i="31"/>
  <c r="M556" i="31"/>
  <c r="P553" i="31"/>
  <c r="Q552" i="31"/>
  <c r="R551" i="31"/>
  <c r="K534" i="31"/>
  <c r="L533" i="31"/>
  <c r="M532" i="31"/>
  <c r="J518" i="31"/>
  <c r="L516" i="31"/>
  <c r="M515" i="31"/>
  <c r="N514" i="31"/>
  <c r="O513" i="31"/>
  <c r="P512" i="31"/>
  <c r="Q511" i="31"/>
  <c r="R510" i="31"/>
  <c r="S509" i="31"/>
  <c r="T508" i="31"/>
  <c r="U507" i="31"/>
  <c r="J506" i="31"/>
  <c r="K505" i="31"/>
  <c r="L504" i="31"/>
  <c r="N502" i="31"/>
  <c r="O501" i="31"/>
  <c r="P500" i="31"/>
  <c r="Q499" i="31"/>
  <c r="R498" i="31"/>
  <c r="S497" i="31"/>
  <c r="T496" i="31"/>
  <c r="U495" i="31"/>
  <c r="J494" i="31"/>
  <c r="K493" i="31"/>
  <c r="L492" i="31"/>
  <c r="M491" i="31"/>
  <c r="N490" i="31"/>
  <c r="P488" i="31"/>
  <c r="Q487" i="31"/>
  <c r="R486" i="31"/>
  <c r="S485" i="31"/>
  <c r="T484" i="31"/>
  <c r="J482" i="31"/>
  <c r="K481" i="31"/>
  <c r="L480" i="31"/>
  <c r="M479" i="31"/>
  <c r="N478" i="31"/>
  <c r="K557" i="31"/>
  <c r="N554" i="31"/>
  <c r="Q551" i="31"/>
  <c r="R550" i="31"/>
  <c r="K533" i="31"/>
  <c r="L532" i="31"/>
  <c r="U518" i="31"/>
  <c r="K516" i="31"/>
  <c r="L515" i="31"/>
  <c r="M514" i="31"/>
  <c r="N513" i="31"/>
  <c r="O512" i="31"/>
  <c r="P511" i="31"/>
  <c r="Q510" i="31"/>
  <c r="R509" i="31"/>
  <c r="S508" i="31"/>
  <c r="T507" i="31"/>
  <c r="U506" i="31"/>
  <c r="J505" i="31"/>
  <c r="K504" i="31"/>
  <c r="M502" i="31"/>
  <c r="N501" i="31"/>
  <c r="O500" i="31"/>
  <c r="P499" i="31"/>
  <c r="Q498" i="31"/>
  <c r="R497" i="31"/>
  <c r="S496" i="31"/>
  <c r="T495" i="31"/>
  <c r="U494" i="31"/>
  <c r="J493" i="31"/>
  <c r="K492" i="31"/>
  <c r="L491" i="31"/>
  <c r="M490" i="31"/>
  <c r="O488" i="31"/>
  <c r="P487" i="31"/>
  <c r="Q486" i="31"/>
  <c r="R485" i="31"/>
  <c r="S484" i="31"/>
  <c r="L555" i="31"/>
  <c r="N553" i="31"/>
  <c r="Q550" i="31"/>
  <c r="U534" i="31"/>
  <c r="J533" i="31"/>
  <c r="K532" i="31"/>
  <c r="T518" i="31"/>
  <c r="J516" i="31"/>
  <c r="K515" i="31"/>
  <c r="L514" i="31"/>
  <c r="M513" i="31"/>
  <c r="N512" i="31"/>
  <c r="O511" i="31"/>
  <c r="P510" i="31"/>
  <c r="Q509" i="31"/>
  <c r="R508" i="31"/>
  <c r="S507" i="31"/>
  <c r="T506" i="31"/>
  <c r="U505" i="31"/>
  <c r="J504" i="31"/>
  <c r="L502" i="31"/>
  <c r="M501" i="31"/>
  <c r="N500" i="31"/>
  <c r="O499" i="31"/>
  <c r="P498" i="31"/>
  <c r="Q497" i="31"/>
  <c r="R496" i="31"/>
  <c r="S495" i="31"/>
  <c r="T494" i="31"/>
  <c r="U493" i="31"/>
  <c r="J492" i="31"/>
  <c r="K491" i="31"/>
  <c r="L490" i="31"/>
  <c r="N488" i="31"/>
  <c r="O487" i="31"/>
  <c r="P486" i="31"/>
  <c r="Q485" i="31"/>
  <c r="R484" i="31"/>
  <c r="T482" i="31"/>
  <c r="U481" i="31"/>
  <c r="J480" i="31"/>
  <c r="K479" i="31"/>
  <c r="L478" i="31"/>
  <c r="K555" i="31"/>
  <c r="L554" i="31"/>
  <c r="O551" i="31"/>
  <c r="T534" i="31"/>
  <c r="U533" i="31"/>
  <c r="S518" i="31"/>
  <c r="U516" i="31"/>
  <c r="J515" i="31"/>
  <c r="K514" i="31"/>
  <c r="L513" i="31"/>
  <c r="M512" i="31"/>
  <c r="N511" i="31"/>
  <c r="O510" i="31"/>
  <c r="P509" i="31"/>
  <c r="Q508" i="31"/>
  <c r="R507" i="31"/>
  <c r="S506" i="31"/>
  <c r="T505" i="31"/>
  <c r="U504" i="31"/>
  <c r="K502" i="31"/>
  <c r="L501" i="31"/>
  <c r="M500" i="31"/>
  <c r="N499" i="31"/>
  <c r="O498" i="31"/>
  <c r="P497" i="31"/>
  <c r="Q496" i="31"/>
  <c r="R495" i="31"/>
  <c r="S494" i="31"/>
  <c r="T493" i="31"/>
  <c r="U492" i="31"/>
  <c r="J491" i="31"/>
  <c r="K490" i="31"/>
  <c r="M488" i="31"/>
  <c r="N487" i="31"/>
  <c r="O486" i="31"/>
  <c r="P485" i="31"/>
  <c r="Q484" i="31"/>
  <c r="S482" i="31"/>
  <c r="T481" i="31"/>
  <c r="U480" i="31"/>
  <c r="J479" i="31"/>
  <c r="T557" i="31"/>
  <c r="U556" i="31"/>
  <c r="K554" i="31"/>
  <c r="L553" i="31"/>
  <c r="M552" i="31"/>
  <c r="O550" i="31"/>
  <c r="S534" i="31"/>
  <c r="T533" i="31"/>
  <c r="U532" i="31"/>
  <c r="R518" i="31"/>
  <c r="T516" i="31"/>
  <c r="U515" i="31"/>
  <c r="J514" i="31"/>
  <c r="K513" i="31"/>
  <c r="L512" i="31"/>
  <c r="M511" i="31"/>
  <c r="N510" i="31"/>
  <c r="O509" i="31"/>
  <c r="P508" i="31"/>
  <c r="Q507" i="31"/>
  <c r="R506" i="31"/>
  <c r="S505" i="31"/>
  <c r="T504" i="31"/>
  <c r="J502" i="31"/>
  <c r="K501" i="31"/>
  <c r="L500" i="31"/>
  <c r="M499" i="31"/>
  <c r="S557" i="31"/>
  <c r="U555" i="31"/>
  <c r="K553" i="31"/>
  <c r="L552" i="31"/>
  <c r="R534" i="31"/>
  <c r="S533" i="31"/>
  <c r="Q518" i="31"/>
  <c r="S516" i="31"/>
  <c r="T515" i="31"/>
  <c r="U514" i="31"/>
  <c r="J513" i="31"/>
  <c r="K512" i="31"/>
  <c r="L511" i="31"/>
  <c r="M510" i="31"/>
  <c r="N509" i="31"/>
  <c r="O508" i="31"/>
  <c r="P507" i="31"/>
  <c r="Q506" i="31"/>
  <c r="R505" i="31"/>
  <c r="S504" i="31"/>
  <c r="U502" i="31"/>
  <c r="R557" i="31"/>
  <c r="J553" i="31"/>
  <c r="L551" i="31"/>
  <c r="R533" i="31"/>
  <c r="S532" i="31"/>
  <c r="P518" i="31"/>
  <c r="R516" i="31"/>
  <c r="S515" i="31"/>
  <c r="T514" i="31"/>
  <c r="U513" i="31"/>
  <c r="J512" i="31"/>
  <c r="K511" i="31"/>
  <c r="L510" i="31"/>
  <c r="M509" i="31"/>
  <c r="N508" i="31"/>
  <c r="O507" i="31"/>
  <c r="P506" i="31"/>
  <c r="Q505" i="31"/>
  <c r="R504" i="31"/>
  <c r="T502" i="31"/>
  <c r="U501" i="31"/>
  <c r="J500" i="31"/>
  <c r="K499" i="31"/>
  <c r="L498" i="31"/>
  <c r="M497" i="31"/>
  <c r="N496" i="31"/>
  <c r="O495" i="31"/>
  <c r="P494" i="31"/>
  <c r="Q493" i="31"/>
  <c r="R492" i="31"/>
  <c r="Q557" i="31"/>
  <c r="J552" i="31"/>
  <c r="L550" i="31"/>
  <c r="P534" i="31"/>
  <c r="Q533" i="31"/>
  <c r="R532" i="31"/>
  <c r="O518" i="31"/>
  <c r="Q516" i="31"/>
  <c r="R515" i="31"/>
  <c r="S514" i="31"/>
  <c r="T513" i="31"/>
  <c r="U512" i="31"/>
  <c r="J511" i="31"/>
  <c r="K510" i="31"/>
  <c r="L509" i="31"/>
  <c r="M508" i="31"/>
  <c r="N507" i="31"/>
  <c r="O506" i="31"/>
  <c r="P505" i="31"/>
  <c r="Q504" i="31"/>
  <c r="S502" i="31"/>
  <c r="T501" i="31"/>
  <c r="U500" i="31"/>
  <c r="J499" i="31"/>
  <c r="K498" i="31"/>
  <c r="L497" i="31"/>
  <c r="M496" i="31"/>
  <c r="N495" i="31"/>
  <c r="O494" i="31"/>
  <c r="P493" i="31"/>
  <c r="Q492" i="31"/>
  <c r="R491" i="31"/>
  <c r="S490" i="31"/>
  <c r="U488" i="31"/>
  <c r="J487" i="31"/>
  <c r="K486" i="31"/>
  <c r="L485" i="31"/>
  <c r="M484" i="31"/>
  <c r="O482" i="31"/>
  <c r="P481" i="31"/>
  <c r="Q480" i="31"/>
  <c r="R479" i="31"/>
  <c r="S478" i="31"/>
  <c r="N479" i="31"/>
  <c r="R480" i="31"/>
  <c r="K482" i="31"/>
  <c r="J485" i="31"/>
  <c r="S486" i="31"/>
  <c r="K488" i="31"/>
  <c r="O491" i="31"/>
  <c r="L493" i="31"/>
  <c r="J495" i="31"/>
  <c r="U496" i="31"/>
  <c r="S498" i="31"/>
  <c r="S500" i="31"/>
  <c r="K506" i="31"/>
  <c r="U508" i="31"/>
  <c r="R511" i="31"/>
  <c r="O514" i="31"/>
  <c r="M533" i="31"/>
  <c r="T500" i="31"/>
  <c r="L506" i="31"/>
  <c r="S511" i="31"/>
  <c r="P514" i="31"/>
  <c r="N533" i="31"/>
  <c r="S552" i="31"/>
  <c r="P555" i="31"/>
  <c r="K478" i="31"/>
  <c r="P479" i="31"/>
  <c r="T480" i="31"/>
  <c r="M482" i="31"/>
  <c r="M485" i="31"/>
  <c r="U486" i="31"/>
  <c r="Q488" i="31"/>
  <c r="Q491" i="31"/>
  <c r="N493" i="31"/>
  <c r="L495" i="31"/>
  <c r="J497" i="31"/>
  <c r="U498" i="31"/>
  <c r="J501" i="31"/>
  <c r="M506" i="31"/>
  <c r="J509" i="31"/>
  <c r="T511" i="31"/>
  <c r="Q514" i="31"/>
  <c r="O533" i="31"/>
  <c r="T552" i="31"/>
  <c r="Q555" i="31"/>
  <c r="K509" i="31"/>
  <c r="U511" i="31"/>
  <c r="R514" i="31"/>
  <c r="P533" i="31"/>
  <c r="K550" i="31"/>
  <c r="R555" i="31"/>
  <c r="O478" i="31"/>
  <c r="S479" i="31"/>
  <c r="L481" i="31"/>
  <c r="P482" i="31"/>
  <c r="J484" i="31"/>
  <c r="O485" i="31"/>
  <c r="K487" i="31"/>
  <c r="S488" i="31"/>
  <c r="O490" i="31"/>
  <c r="T491" i="31"/>
  <c r="R493" i="31"/>
  <c r="P495" i="31"/>
  <c r="N497" i="31"/>
  <c r="L499" i="31"/>
  <c r="Q501" i="31"/>
  <c r="M504" i="31"/>
  <c r="J507" i="31"/>
  <c r="T509" i="31"/>
  <c r="Q512" i="31"/>
  <c r="N515" i="31"/>
  <c r="K518" i="31"/>
  <c r="L534" i="31"/>
  <c r="T550" i="31"/>
  <c r="Q553" i="31"/>
  <c r="N556" i="31"/>
  <c r="P478" i="31"/>
  <c r="T479" i="31"/>
  <c r="M481" i="31"/>
  <c r="Q482" i="31"/>
  <c r="K484" i="31"/>
  <c r="T485" i="31"/>
  <c r="L487" i="31"/>
  <c r="T488" i="31"/>
  <c r="P490" i="31"/>
  <c r="U491" i="31"/>
  <c r="S493" i="31"/>
  <c r="Q495" i="31"/>
  <c r="O497" i="31"/>
  <c r="R499" i="31"/>
  <c r="R501" i="31"/>
  <c r="N504" i="31"/>
  <c r="K507" i="31"/>
  <c r="U509" i="31"/>
  <c r="R512" i="31"/>
  <c r="O515" i="31"/>
  <c r="L518" i="31"/>
  <c r="M534" i="31"/>
  <c r="U550" i="31"/>
  <c r="R553" i="31"/>
  <c r="Q478" i="31"/>
  <c r="U479" i="31"/>
  <c r="N481" i="31"/>
  <c r="R482" i="31"/>
  <c r="L484" i="31"/>
  <c r="U485" i="31"/>
  <c r="M487" i="31"/>
  <c r="Q490" i="31"/>
  <c r="M492" i="31"/>
  <c r="K494" i="31"/>
  <c r="T497" i="31"/>
  <c r="S499" i="31"/>
  <c r="S501" i="31"/>
  <c r="O504" i="31"/>
  <c r="L507" i="31"/>
  <c r="S512" i="31"/>
  <c r="P515" i="31"/>
  <c r="M518" i="31"/>
  <c r="N534" i="31"/>
  <c r="S553" i="31"/>
  <c r="P556" i="31"/>
  <c r="R478" i="31"/>
  <c r="K480" i="31"/>
  <c r="O481" i="31"/>
  <c r="U482" i="31"/>
  <c r="N484" i="31"/>
  <c r="R487" i="31"/>
  <c r="R490" i="31"/>
  <c r="N492" i="31"/>
  <c r="L494" i="31"/>
  <c r="J496" i="31"/>
  <c r="U497" i="31"/>
  <c r="T499" i="31"/>
  <c r="P504" i="31"/>
  <c r="M507" i="31"/>
  <c r="J510" i="31"/>
  <c r="T512" i="31"/>
  <c r="Q515" i="31"/>
  <c r="N518" i="31"/>
  <c r="O534" i="31"/>
  <c r="J551" i="31"/>
  <c r="T553" i="31"/>
  <c r="Q556" i="31"/>
  <c r="L71" i="27"/>
  <c r="L76" i="27" s="1"/>
  <c r="V278" i="31" l="1"/>
  <c r="V280" i="31"/>
  <c r="V285" i="31"/>
  <c r="V286" i="31"/>
  <c r="V281" i="31"/>
  <c r="V284" i="31"/>
  <c r="V289" i="31"/>
  <c r="V279" i="31"/>
  <c r="V282" i="31"/>
  <c r="V288" i="31"/>
  <c r="P535" i="31"/>
  <c r="M550" i="31"/>
  <c r="P311" i="31"/>
  <c r="P317" i="31" s="1"/>
  <c r="J557" i="31"/>
  <c r="V557" i="31" s="1"/>
  <c r="J315" i="31"/>
  <c r="U310" i="31"/>
  <c r="N552" i="31"/>
  <c r="U554" i="31"/>
  <c r="U558" i="31" s="1"/>
  <c r="U316" i="31"/>
  <c r="V316" i="31" s="1"/>
  <c r="M310" i="31"/>
  <c r="T483" i="31"/>
  <c r="S556" i="31"/>
  <c r="S558" i="31" s="1"/>
  <c r="P551" i="31"/>
  <c r="O552" i="31"/>
  <c r="V247" i="31"/>
  <c r="K315" i="31"/>
  <c r="J314" i="31"/>
  <c r="O294" i="31"/>
  <c r="V54" i="31"/>
  <c r="L531" i="31"/>
  <c r="K489" i="31"/>
  <c r="M242" i="31"/>
  <c r="I7" i="29" s="1"/>
  <c r="V241" i="31"/>
  <c r="T248" i="31"/>
  <c r="P8" i="29" s="1"/>
  <c r="S294" i="31"/>
  <c r="M248" i="31"/>
  <c r="I8" i="29" s="1"/>
  <c r="N489" i="31"/>
  <c r="O489" i="31"/>
  <c r="P489" i="31"/>
  <c r="S535" i="31"/>
  <c r="O242" i="31"/>
  <c r="K7" i="29" s="1"/>
  <c r="O535" i="31"/>
  <c r="V488" i="31"/>
  <c r="V498" i="31"/>
  <c r="V267" i="31"/>
  <c r="J313" i="31"/>
  <c r="V487" i="31"/>
  <c r="P531" i="31"/>
  <c r="T503" i="31"/>
  <c r="V508" i="31"/>
  <c r="Q534" i="31"/>
  <c r="Q535" i="31" s="1"/>
  <c r="K552" i="31"/>
  <c r="P550" i="31"/>
  <c r="M554" i="31"/>
  <c r="S262" i="31"/>
  <c r="O9" i="29" s="1"/>
  <c r="S242" i="31"/>
  <c r="O7" i="29" s="1"/>
  <c r="M262" i="31"/>
  <c r="I9" i="29" s="1"/>
  <c r="V496" i="31"/>
  <c r="U503" i="31"/>
  <c r="M549" i="31"/>
  <c r="V485" i="31"/>
  <c r="R535" i="31"/>
  <c r="M483" i="31"/>
  <c r="T291" i="31"/>
  <c r="T294" i="31" s="1"/>
  <c r="N242" i="31"/>
  <c r="J7" i="29" s="1"/>
  <c r="K310" i="31"/>
  <c r="V265" i="31"/>
  <c r="R262" i="31"/>
  <c r="N9" i="29" s="1"/>
  <c r="T315" i="31"/>
  <c r="V239" i="31"/>
  <c r="N551" i="31"/>
  <c r="M517" i="31"/>
  <c r="L503" i="31"/>
  <c r="R294" i="31"/>
  <c r="R311" i="31"/>
  <c r="S290" i="31"/>
  <c r="O11" i="29" s="1"/>
  <c r="N262" i="31"/>
  <c r="J9" i="29" s="1"/>
  <c r="O315" i="31"/>
  <c r="T314" i="31"/>
  <c r="T242" i="31"/>
  <c r="P7" i="29" s="1"/>
  <c r="N535" i="31"/>
  <c r="O555" i="31"/>
  <c r="M553" i="31"/>
  <c r="V553" i="31" s="1"/>
  <c r="V481" i="31"/>
  <c r="R248" i="31"/>
  <c r="N8" i="29" s="1"/>
  <c r="K242" i="31"/>
  <c r="G7" i="29" s="1"/>
  <c r="U312" i="31"/>
  <c r="R290" i="31"/>
  <c r="N11" i="29" s="1"/>
  <c r="L294" i="31"/>
  <c r="Q242" i="31"/>
  <c r="M7" i="29" s="1"/>
  <c r="Q294" i="31"/>
  <c r="N309" i="31"/>
  <c r="N317" i="31" s="1"/>
  <c r="V77" i="31"/>
  <c r="V510" i="31"/>
  <c r="V486" i="31"/>
  <c r="T532" i="31"/>
  <c r="T535" i="31" s="1"/>
  <c r="S248" i="31"/>
  <c r="O8" i="29" s="1"/>
  <c r="L262" i="31"/>
  <c r="H9" i="29" s="1"/>
  <c r="V259" i="31"/>
  <c r="V548" i="31"/>
  <c r="L549" i="31"/>
  <c r="V544" i="31"/>
  <c r="J517" i="31"/>
  <c r="V504" i="31"/>
  <c r="V516" i="31"/>
  <c r="S549" i="31"/>
  <c r="L535" i="31"/>
  <c r="N483" i="31"/>
  <c r="V518" i="31"/>
  <c r="J531" i="31"/>
  <c r="R308" i="31"/>
  <c r="N12" i="29" s="1"/>
  <c r="O290" i="31"/>
  <c r="K11" i="29" s="1"/>
  <c r="T276" i="31"/>
  <c r="P10" i="29" s="1"/>
  <c r="U308" i="31"/>
  <c r="Q12" i="29" s="1"/>
  <c r="J276" i="31"/>
  <c r="F10" i="29" s="1"/>
  <c r="V263" i="31"/>
  <c r="V275" i="31"/>
  <c r="J308" i="31"/>
  <c r="V295" i="31"/>
  <c r="V304" i="31"/>
  <c r="V255" i="31"/>
  <c r="R315" i="31"/>
  <c r="P276" i="31"/>
  <c r="L10" i="29" s="1"/>
  <c r="P308" i="31"/>
  <c r="L12" i="29" s="1"/>
  <c r="V302" i="31"/>
  <c r="P503" i="31"/>
  <c r="Q483" i="31"/>
  <c r="S503" i="31"/>
  <c r="L483" i="31"/>
  <c r="V492" i="31"/>
  <c r="T531" i="31"/>
  <c r="Q558" i="31"/>
  <c r="V546" i="31"/>
  <c r="V506" i="31"/>
  <c r="K262" i="31"/>
  <c r="G9" i="29" s="1"/>
  <c r="T308" i="31"/>
  <c r="P12" i="29" s="1"/>
  <c r="V251" i="31"/>
  <c r="T290" i="31"/>
  <c r="P11" i="29" s="1"/>
  <c r="V296" i="31"/>
  <c r="N294" i="31"/>
  <c r="V243" i="31"/>
  <c r="J248" i="31"/>
  <c r="F8" i="29" s="1"/>
  <c r="R242" i="31"/>
  <c r="N7" i="29" s="1"/>
  <c r="N290" i="31"/>
  <c r="J11" i="29" s="1"/>
  <c r="V538" i="31"/>
  <c r="V55" i="31"/>
  <c r="U549" i="31"/>
  <c r="O517" i="31"/>
  <c r="Q517" i="31"/>
  <c r="N549" i="31"/>
  <c r="V542" i="31"/>
  <c r="M503" i="31"/>
  <c r="V494" i="31"/>
  <c r="V270" i="31"/>
  <c r="S314" i="31"/>
  <c r="S317" i="31" s="1"/>
  <c r="V297" i="31"/>
  <c r="O313" i="31"/>
  <c r="M314" i="31"/>
  <c r="R503" i="31"/>
  <c r="O483" i="31"/>
  <c r="S483" i="31"/>
  <c r="O531" i="31"/>
  <c r="L558" i="31"/>
  <c r="V541" i="31"/>
  <c r="K503" i="31"/>
  <c r="V515" i="31"/>
  <c r="V480" i="31"/>
  <c r="K517" i="31"/>
  <c r="T549" i="31"/>
  <c r="V249" i="31"/>
  <c r="J262" i="31"/>
  <c r="F9" i="29" s="1"/>
  <c r="V252" i="31"/>
  <c r="Q290" i="31"/>
  <c r="M11" i="29" s="1"/>
  <c r="P290" i="31"/>
  <c r="L11" i="29" s="1"/>
  <c r="V250" i="31"/>
  <c r="V274" i="31"/>
  <c r="V298" i="31"/>
  <c r="K308" i="31"/>
  <c r="G12" i="29" s="1"/>
  <c r="O262" i="31"/>
  <c r="K9" i="29" s="1"/>
  <c r="Q317" i="31"/>
  <c r="V268" i="31"/>
  <c r="V76" i="31"/>
  <c r="V507" i="31"/>
  <c r="N531" i="31"/>
  <c r="K549" i="31"/>
  <c r="V543" i="31"/>
  <c r="V491" i="31"/>
  <c r="U517" i="31"/>
  <c r="R549" i="31"/>
  <c r="V505" i="31"/>
  <c r="U531" i="31"/>
  <c r="R558" i="31"/>
  <c r="V482" i="31"/>
  <c r="V246" i="31"/>
  <c r="V261" i="31"/>
  <c r="U276" i="31"/>
  <c r="Q10" i="29" s="1"/>
  <c r="V299" i="31"/>
  <c r="U290" i="31"/>
  <c r="Q11" i="29" s="1"/>
  <c r="M276" i="31"/>
  <c r="I10" i="29" s="1"/>
  <c r="M308" i="31"/>
  <c r="I12" i="29" s="1"/>
  <c r="T310" i="31"/>
  <c r="K248" i="31"/>
  <c r="V256" i="31"/>
  <c r="Q308" i="31"/>
  <c r="M12" i="29" s="1"/>
  <c r="V238" i="31"/>
  <c r="V75" i="31"/>
  <c r="V513" i="31"/>
  <c r="S531" i="31"/>
  <c r="N555" i="31"/>
  <c r="V300" i="31"/>
  <c r="K290" i="31"/>
  <c r="G11" i="29" s="1"/>
  <c r="V244" i="31"/>
  <c r="V74" i="31"/>
  <c r="J489" i="31"/>
  <c r="V484" i="31"/>
  <c r="M290" i="31"/>
  <c r="I11" i="29" s="1"/>
  <c r="N517" i="31"/>
  <c r="V493" i="31"/>
  <c r="T489" i="31"/>
  <c r="Q503" i="31"/>
  <c r="V495" i="31"/>
  <c r="V540" i="31"/>
  <c r="V512" i="31"/>
  <c r="U535" i="31"/>
  <c r="V479" i="31"/>
  <c r="R489" i="31"/>
  <c r="V264" i="31"/>
  <c r="V271" i="31"/>
  <c r="O248" i="31"/>
  <c r="K8" i="29" s="1"/>
  <c r="V258" i="31"/>
  <c r="V301" i="31"/>
  <c r="M294" i="31"/>
  <c r="T313" i="31"/>
  <c r="P262" i="31"/>
  <c r="L9" i="29" s="1"/>
  <c r="L248" i="31"/>
  <c r="H8" i="29" s="1"/>
  <c r="V269" i="31"/>
  <c r="V73" i="31"/>
  <c r="V240" i="31"/>
  <c r="O503" i="31"/>
  <c r="V509" i="31"/>
  <c r="V536" i="31"/>
  <c r="J549" i="31"/>
  <c r="V500" i="31"/>
  <c r="V514" i="31"/>
  <c r="Q248" i="31"/>
  <c r="M8" i="29" s="1"/>
  <c r="R276" i="31"/>
  <c r="N10" i="29" s="1"/>
  <c r="Q276" i="31"/>
  <c r="M10" i="29" s="1"/>
  <c r="N248" i="31"/>
  <c r="K276" i="31"/>
  <c r="G10" i="29" s="1"/>
  <c r="L315" i="31"/>
  <c r="L317" i="31" s="1"/>
  <c r="V266" i="31"/>
  <c r="N276" i="31"/>
  <c r="J10" i="29" s="1"/>
  <c r="N308" i="31"/>
  <c r="J12" i="29" s="1"/>
  <c r="P294" i="31"/>
  <c r="V257" i="31"/>
  <c r="V303" i="31"/>
  <c r="V72" i="31"/>
  <c r="V306" i="31"/>
  <c r="U248" i="31"/>
  <c r="Q8" i="29" s="1"/>
  <c r="U242" i="31"/>
  <c r="Q7" i="29" s="1"/>
  <c r="T558" i="31"/>
  <c r="M531" i="31"/>
  <c r="P483" i="31"/>
  <c r="M489" i="31"/>
  <c r="S517" i="31"/>
  <c r="P549" i="31"/>
  <c r="V502" i="31"/>
  <c r="M535" i="31"/>
  <c r="S276" i="31"/>
  <c r="P248" i="31"/>
  <c r="L8" i="29" s="1"/>
  <c r="V254" i="31"/>
  <c r="P242" i="31"/>
  <c r="L7" i="29" s="1"/>
  <c r="L290" i="31"/>
  <c r="H11" i="29" s="1"/>
  <c r="V245" i="31"/>
  <c r="T262" i="31"/>
  <c r="P9" i="29" s="1"/>
  <c r="V490" i="31"/>
  <c r="V71" i="31"/>
  <c r="V272" i="31"/>
  <c r="U489" i="31"/>
  <c r="J242" i="31"/>
  <c r="F7" i="29" s="1"/>
  <c r="V237" i="31"/>
  <c r="U483" i="31"/>
  <c r="V497" i="31"/>
  <c r="K531" i="31"/>
  <c r="P517" i="31"/>
  <c r="V537" i="31"/>
  <c r="V501" i="31"/>
  <c r="Q531" i="31"/>
  <c r="T517" i="31"/>
  <c r="Q549" i="31"/>
  <c r="K535" i="31"/>
  <c r="V545" i="31"/>
  <c r="S489" i="31"/>
  <c r="V253" i="31"/>
  <c r="S308" i="31"/>
  <c r="O12" i="29" s="1"/>
  <c r="U294" i="31"/>
  <c r="K294" i="31"/>
  <c r="V305" i="31"/>
  <c r="L276" i="31"/>
  <c r="H10" i="29" s="1"/>
  <c r="L308" i="31"/>
  <c r="H12" i="29" s="1"/>
  <c r="Q262" i="31"/>
  <c r="J503" i="31"/>
  <c r="V478" i="31"/>
  <c r="J483" i="31"/>
  <c r="L517" i="31"/>
  <c r="R483" i="31"/>
  <c r="L489" i="31"/>
  <c r="K483" i="31"/>
  <c r="V511" i="31"/>
  <c r="V539" i="31"/>
  <c r="V499" i="31"/>
  <c r="R517" i="31"/>
  <c r="O549" i="31"/>
  <c r="R531" i="31"/>
  <c r="Q489" i="31"/>
  <c r="V533" i="31"/>
  <c r="N503" i="31"/>
  <c r="V547" i="31"/>
  <c r="V260" i="31"/>
  <c r="L242" i="31"/>
  <c r="H7" i="29" s="1"/>
  <c r="V273" i="31"/>
  <c r="V292" i="31"/>
  <c r="V277" i="31"/>
  <c r="J290" i="31"/>
  <c r="F11" i="29" s="1"/>
  <c r="O276" i="31"/>
  <c r="K10" i="29" s="1"/>
  <c r="O308" i="31"/>
  <c r="K12" i="29" s="1"/>
  <c r="V307" i="31"/>
  <c r="U262" i="31"/>
  <c r="Q9" i="29" s="1"/>
  <c r="V70" i="31"/>
  <c r="M317" i="31" l="1"/>
  <c r="I13" i="29" s="1"/>
  <c r="V556" i="31"/>
  <c r="J558" i="31"/>
  <c r="U317" i="31"/>
  <c r="Q13" i="29" s="1"/>
  <c r="V552" i="31"/>
  <c r="O558" i="31"/>
  <c r="O559" i="31" s="1"/>
  <c r="K23" i="29" s="1"/>
  <c r="V309" i="31"/>
  <c r="K317" i="31"/>
  <c r="G13" i="29" s="1"/>
  <c r="V554" i="31"/>
  <c r="J317" i="31"/>
  <c r="V551" i="31"/>
  <c r="O13" i="29"/>
  <c r="P558" i="31"/>
  <c r="P559" i="31" s="1"/>
  <c r="L23" i="29" s="1"/>
  <c r="N558" i="31"/>
  <c r="N559" i="31" s="1"/>
  <c r="J23" i="29" s="1"/>
  <c r="V291" i="31"/>
  <c r="L13" i="29"/>
  <c r="O317" i="31"/>
  <c r="K13" i="29" s="1"/>
  <c r="T317" i="31"/>
  <c r="P13" i="29" s="1"/>
  <c r="V313" i="31"/>
  <c r="M558" i="31"/>
  <c r="M559" i="31" s="1"/>
  <c r="I23" i="29" s="1"/>
  <c r="V312" i="31"/>
  <c r="R317" i="31"/>
  <c r="R318" i="31" s="1"/>
  <c r="H13" i="29"/>
  <c r="Q318" i="31"/>
  <c r="M9" i="29"/>
  <c r="V311" i="31"/>
  <c r="K558" i="31"/>
  <c r="K559" i="31" s="1"/>
  <c r="G23" i="29" s="1"/>
  <c r="V555" i="31"/>
  <c r="G8" i="29"/>
  <c r="V308" i="31"/>
  <c r="Y308" i="31" s="1"/>
  <c r="F12" i="29"/>
  <c r="V532" i="31"/>
  <c r="V503" i="31"/>
  <c r="T559" i="31"/>
  <c r="P23" i="29" s="1"/>
  <c r="N318" i="31"/>
  <c r="J8" i="29"/>
  <c r="S318" i="31"/>
  <c r="O10" i="29"/>
  <c r="S559" i="31"/>
  <c r="O23" i="29" s="1"/>
  <c r="V314" i="31"/>
  <c r="V315" i="31"/>
  <c r="V550" i="31"/>
  <c r="J13" i="29"/>
  <c r="Q559" i="31"/>
  <c r="M23" i="29" s="1"/>
  <c r="M13" i="29"/>
  <c r="V310" i="31"/>
  <c r="V549" i="31"/>
  <c r="V489" i="31"/>
  <c r="V276" i="31"/>
  <c r="V262" i="31"/>
  <c r="V248" i="31"/>
  <c r="V517" i="31"/>
  <c r="L318" i="31"/>
  <c r="R559" i="31"/>
  <c r="N23" i="29" s="1"/>
  <c r="L559" i="31"/>
  <c r="H23" i="29" s="1"/>
  <c r="V242" i="31"/>
  <c r="V531" i="31"/>
  <c r="V483" i="31"/>
  <c r="P318" i="31"/>
  <c r="V56" i="31"/>
  <c r="J293" i="31"/>
  <c r="J534" i="31"/>
  <c r="V290" i="31"/>
  <c r="U559" i="31"/>
  <c r="Q23" i="29" s="1"/>
  <c r="U318" i="31" l="1"/>
  <c r="M318" i="31"/>
  <c r="O318" i="31"/>
  <c r="K318" i="31"/>
  <c r="T318" i="31"/>
  <c r="G6" i="29"/>
  <c r="N13" i="29"/>
  <c r="V317" i="31"/>
  <c r="Y317" i="31" s="1"/>
  <c r="V558" i="31"/>
  <c r="V534" i="31"/>
  <c r="J535" i="31"/>
  <c r="V293" i="31"/>
  <c r="J294" i="31"/>
  <c r="F13" i="29" s="1"/>
  <c r="F6" i="29" s="1"/>
  <c r="V535" i="31" l="1"/>
  <c r="V559" i="31" s="1"/>
  <c r="J559" i="31"/>
  <c r="F23" i="29" s="1"/>
  <c r="V294" i="31"/>
  <c r="V318" i="31" s="1"/>
  <c r="V319" i="31" s="1"/>
  <c r="J318" i="31"/>
  <c r="K215" i="3" l="1"/>
  <c r="O85" i="29" s="1"/>
  <c r="I181" i="3"/>
  <c r="J181" i="3"/>
  <c r="K181" i="3"/>
  <c r="L181" i="3"/>
  <c r="M181" i="3"/>
  <c r="C181" i="3"/>
  <c r="D181" i="3"/>
  <c r="E181" i="3"/>
  <c r="F181" i="3"/>
  <c r="G181" i="3"/>
  <c r="H181" i="3"/>
  <c r="B181" i="3"/>
  <c r="H68" i="3" l="1"/>
  <c r="P8" i="25"/>
  <c r="C166" i="3"/>
  <c r="D166" i="3"/>
  <c r="E166" i="3"/>
  <c r="F166" i="3"/>
  <c r="G166" i="3"/>
  <c r="H166" i="3"/>
  <c r="I166" i="3"/>
  <c r="J166" i="3"/>
  <c r="K166" i="3"/>
  <c r="L166" i="3"/>
  <c r="M166" i="3"/>
  <c r="B166" i="3"/>
  <c r="C147" i="3"/>
  <c r="D147" i="3"/>
  <c r="E147" i="3"/>
  <c r="F147" i="3"/>
  <c r="G147" i="3"/>
  <c r="H147" i="3"/>
  <c r="I147" i="3"/>
  <c r="J147" i="3"/>
  <c r="K147" i="3"/>
  <c r="L147" i="3"/>
  <c r="M147" i="3"/>
  <c r="B147" i="3"/>
  <c r="C145" i="3"/>
  <c r="D145" i="3"/>
  <c r="E145" i="3"/>
  <c r="F145" i="3"/>
  <c r="G145" i="3"/>
  <c r="H145" i="3"/>
  <c r="I145" i="3"/>
  <c r="J145" i="3"/>
  <c r="K145" i="3"/>
  <c r="L145" i="3"/>
  <c r="M145" i="3"/>
  <c r="B145" i="3"/>
  <c r="B141" i="3" s="1"/>
  <c r="C129" i="3"/>
  <c r="D129" i="3"/>
  <c r="E129" i="3"/>
  <c r="F129" i="3"/>
  <c r="G129" i="3"/>
  <c r="H129" i="3"/>
  <c r="I129" i="3"/>
  <c r="J129" i="3"/>
  <c r="K129" i="3"/>
  <c r="L129" i="3"/>
  <c r="M129" i="3"/>
  <c r="B129" i="3"/>
  <c r="C128" i="3"/>
  <c r="D128" i="3"/>
  <c r="E128" i="3"/>
  <c r="F128" i="3"/>
  <c r="G128" i="3"/>
  <c r="H128" i="3"/>
  <c r="I128" i="3"/>
  <c r="J128" i="3"/>
  <c r="K128" i="3"/>
  <c r="L128" i="3"/>
  <c r="M128" i="3"/>
  <c r="B128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P38" i="15"/>
  <c r="P37" i="15"/>
  <c r="P36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E27" i="15"/>
  <c r="F27" i="15"/>
  <c r="G27" i="15"/>
  <c r="H27" i="15"/>
  <c r="I27" i="15"/>
  <c r="J27" i="15"/>
  <c r="K27" i="15"/>
  <c r="L27" i="15"/>
  <c r="M27" i="15"/>
  <c r="N27" i="15"/>
  <c r="O27" i="15"/>
  <c r="D27" i="15"/>
  <c r="P34" i="15"/>
  <c r="P33" i="15"/>
  <c r="P32" i="15"/>
  <c r="C177" i="3"/>
  <c r="D177" i="3"/>
  <c r="E177" i="3"/>
  <c r="F177" i="3"/>
  <c r="G177" i="3"/>
  <c r="H177" i="3"/>
  <c r="I177" i="3"/>
  <c r="J177" i="3"/>
  <c r="K177" i="3"/>
  <c r="L177" i="3"/>
  <c r="M177" i="3"/>
  <c r="B177" i="3"/>
  <c r="P31" i="15" l="1"/>
  <c r="P35" i="15"/>
  <c r="E6" i="23"/>
  <c r="F6" i="23"/>
  <c r="G6" i="23"/>
  <c r="H6" i="23"/>
  <c r="I6" i="23"/>
  <c r="J6" i="23"/>
  <c r="K6" i="23"/>
  <c r="L6" i="23"/>
  <c r="M6" i="23"/>
  <c r="N6" i="23"/>
  <c r="O6" i="23"/>
  <c r="D6" i="23"/>
  <c r="D5" i="23"/>
  <c r="E5" i="23"/>
  <c r="F5" i="23"/>
  <c r="G5" i="23"/>
  <c r="H5" i="23"/>
  <c r="I5" i="23"/>
  <c r="J5" i="23"/>
  <c r="K5" i="23"/>
  <c r="L5" i="23"/>
  <c r="M5" i="23"/>
  <c r="N5" i="23"/>
  <c r="O5" i="23"/>
  <c r="C94" i="3" l="1"/>
  <c r="D94" i="3"/>
  <c r="E94" i="3"/>
  <c r="F94" i="3"/>
  <c r="G94" i="3"/>
  <c r="H94" i="3"/>
  <c r="I94" i="3"/>
  <c r="J94" i="3"/>
  <c r="K94" i="3"/>
  <c r="L94" i="3"/>
  <c r="M94" i="3"/>
  <c r="B94" i="3"/>
  <c r="I19" i="27"/>
  <c r="E20" i="15"/>
  <c r="F20" i="15"/>
  <c r="G20" i="15"/>
  <c r="H20" i="15"/>
  <c r="I20" i="15"/>
  <c r="J20" i="15"/>
  <c r="K20" i="15"/>
  <c r="L20" i="15"/>
  <c r="M20" i="15"/>
  <c r="N20" i="15"/>
  <c r="O20" i="15"/>
  <c r="D20" i="15"/>
  <c r="D19" i="15"/>
  <c r="D17" i="15"/>
  <c r="D16" i="15" s="1"/>
  <c r="C38" i="3"/>
  <c r="D38" i="3"/>
  <c r="E38" i="3"/>
  <c r="F38" i="3"/>
  <c r="G38" i="3"/>
  <c r="H38" i="3"/>
  <c r="I38" i="3"/>
  <c r="J38" i="3"/>
  <c r="K38" i="3"/>
  <c r="L38" i="3"/>
  <c r="M38" i="3"/>
  <c r="B38" i="3"/>
  <c r="P6" i="28"/>
  <c r="F42" i="7"/>
  <c r="E42" i="7"/>
  <c r="G42" i="7" l="1"/>
  <c r="Q27" i="7" s="1"/>
  <c r="P27" i="7" l="1"/>
  <c r="E27" i="7"/>
  <c r="F27" i="7"/>
  <c r="G27" i="7"/>
  <c r="D37" i="3" s="1"/>
  <c r="H27" i="7"/>
  <c r="I27" i="7"/>
  <c r="F37" i="3" s="1"/>
  <c r="P17" i="7"/>
  <c r="J27" i="7"/>
  <c r="G37" i="3" s="1"/>
  <c r="K27" i="7"/>
  <c r="H37" i="3" s="1"/>
  <c r="L27" i="7"/>
  <c r="I37" i="3" s="1"/>
  <c r="M27" i="7"/>
  <c r="J37" i="3" s="1"/>
  <c r="N27" i="7"/>
  <c r="K37" i="3" s="1"/>
  <c r="O27" i="7"/>
  <c r="M17" i="7"/>
  <c r="L17" i="7"/>
  <c r="K17" i="7"/>
  <c r="J17" i="7"/>
  <c r="I17" i="7"/>
  <c r="H17" i="7"/>
  <c r="G17" i="7"/>
  <c r="F17" i="7"/>
  <c r="E17" i="7"/>
  <c r="O17" i="7"/>
  <c r="N17" i="7"/>
  <c r="M37" i="3"/>
  <c r="C37" i="3"/>
  <c r="L37" i="3"/>
  <c r="B37" i="3"/>
  <c r="E37" i="3"/>
  <c r="L95" i="27"/>
  <c r="L97" i="27"/>
  <c r="J98" i="27"/>
  <c r="L98" i="27" s="1"/>
  <c r="J96" i="27"/>
  <c r="L96" i="27" s="1"/>
  <c r="P45" i="23"/>
  <c r="K45" i="23"/>
  <c r="D44" i="23"/>
  <c r="F44" i="23"/>
  <c r="I73" i="23"/>
  <c r="I74" i="23"/>
  <c r="I72" i="23"/>
  <c r="I71" i="23"/>
  <c r="K43" i="23" s="1"/>
  <c r="I51" i="3" s="1"/>
  <c r="K33" i="3"/>
  <c r="Q25" i="7"/>
  <c r="L33" i="3"/>
  <c r="I33" i="3"/>
  <c r="C33" i="3"/>
  <c r="Q23" i="7"/>
  <c r="P55" i="25"/>
  <c r="P54" i="25"/>
  <c r="P60" i="25" s="1"/>
  <c r="E60" i="25"/>
  <c r="F60" i="25"/>
  <c r="G60" i="25"/>
  <c r="H60" i="25"/>
  <c r="I60" i="25"/>
  <c r="J60" i="25"/>
  <c r="K60" i="25"/>
  <c r="L60" i="25"/>
  <c r="M60" i="25"/>
  <c r="N60" i="25"/>
  <c r="O60" i="25"/>
  <c r="C165" i="3"/>
  <c r="D165" i="3"/>
  <c r="E165" i="3"/>
  <c r="F165" i="3"/>
  <c r="G165" i="3"/>
  <c r="H165" i="3"/>
  <c r="I165" i="3"/>
  <c r="J165" i="3"/>
  <c r="K165" i="3"/>
  <c r="L165" i="3"/>
  <c r="M165" i="3"/>
  <c r="B165" i="3"/>
  <c r="C164" i="3"/>
  <c r="D164" i="3"/>
  <c r="E164" i="3"/>
  <c r="F164" i="3"/>
  <c r="G164" i="3"/>
  <c r="H164" i="3"/>
  <c r="I164" i="3"/>
  <c r="J164" i="3"/>
  <c r="K164" i="3"/>
  <c r="L164" i="3"/>
  <c r="M164" i="3"/>
  <c r="B164" i="3"/>
  <c r="B29" i="3"/>
  <c r="C29" i="3"/>
  <c r="D29" i="3"/>
  <c r="E29" i="3"/>
  <c r="F29" i="3"/>
  <c r="G29" i="3"/>
  <c r="H29" i="3"/>
  <c r="I29" i="3"/>
  <c r="J29" i="3"/>
  <c r="K29" i="3"/>
  <c r="L29" i="3"/>
  <c r="M29" i="3"/>
  <c r="B30" i="3"/>
  <c r="C30" i="3"/>
  <c r="D30" i="3"/>
  <c r="E30" i="3"/>
  <c r="F30" i="3"/>
  <c r="G30" i="3"/>
  <c r="H30" i="3"/>
  <c r="I30" i="3"/>
  <c r="J30" i="3"/>
  <c r="K30" i="3"/>
  <c r="L30" i="3"/>
  <c r="M30" i="3"/>
  <c r="C28" i="3"/>
  <c r="D28" i="3"/>
  <c r="E28" i="3"/>
  <c r="F28" i="3"/>
  <c r="G28" i="3"/>
  <c r="H28" i="3"/>
  <c r="I28" i="3"/>
  <c r="J28" i="3"/>
  <c r="K28" i="3"/>
  <c r="L28" i="3"/>
  <c r="M28" i="3"/>
  <c r="B28" i="3"/>
  <c r="O28" i="21"/>
  <c r="O29" i="21"/>
  <c r="O30" i="21"/>
  <c r="O27" i="21"/>
  <c r="D27" i="21"/>
  <c r="E27" i="21"/>
  <c r="F27" i="21"/>
  <c r="G27" i="21"/>
  <c r="H27" i="21"/>
  <c r="I27" i="21"/>
  <c r="J27" i="21"/>
  <c r="K27" i="21"/>
  <c r="L27" i="21"/>
  <c r="M27" i="21"/>
  <c r="N27" i="21"/>
  <c r="C27" i="21"/>
  <c r="Q17" i="7" l="1"/>
  <c r="G33" i="3"/>
  <c r="J33" i="3"/>
  <c r="H33" i="3"/>
  <c r="F33" i="3"/>
  <c r="M33" i="3"/>
  <c r="E33" i="3"/>
  <c r="D33" i="3"/>
  <c r="Q24" i="7"/>
  <c r="Q26" i="7"/>
  <c r="M6" i="29" l="1"/>
  <c r="Q6" i="29"/>
  <c r="N6" i="29"/>
  <c r="L6" i="29"/>
  <c r="D97" i="29"/>
  <c r="D96" i="29"/>
  <c r="D95" i="29"/>
  <c r="D94" i="29"/>
  <c r="D93" i="29"/>
  <c r="D92" i="29"/>
  <c r="D91" i="29"/>
  <c r="D89" i="29"/>
  <c r="D88" i="29"/>
  <c r="D87" i="29"/>
  <c r="D86" i="29"/>
  <c r="D85" i="29"/>
  <c r="D83" i="29"/>
  <c r="D82" i="29"/>
  <c r="D81" i="29"/>
  <c r="D80" i="29"/>
  <c r="D79" i="29"/>
  <c r="D78" i="29"/>
  <c r="D77" i="29"/>
  <c r="D76" i="29"/>
  <c r="D75" i="29"/>
  <c r="D74" i="29"/>
  <c r="E43" i="29"/>
  <c r="D38" i="29"/>
  <c r="E34" i="29"/>
  <c r="D31" i="29"/>
  <c r="D29" i="29"/>
  <c r="D28" i="29"/>
  <c r="D26" i="29"/>
  <c r="D25" i="29"/>
  <c r="D24" i="29"/>
  <c r="D23" i="29"/>
  <c r="D22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D18" i="29"/>
  <c r="D17" i="29"/>
  <c r="D16" i="29"/>
  <c r="D15" i="29"/>
  <c r="Q14" i="29"/>
  <c r="P14" i="29"/>
  <c r="O14" i="29"/>
  <c r="N14" i="29"/>
  <c r="M14" i="29"/>
  <c r="L14" i="29"/>
  <c r="K14" i="29"/>
  <c r="D13" i="29"/>
  <c r="D12" i="29"/>
  <c r="D11" i="29"/>
  <c r="D10" i="29"/>
  <c r="P6" i="29"/>
  <c r="I6" i="29"/>
  <c r="H6" i="29"/>
  <c r="H4" i="29"/>
  <c r="I4" i="29" s="1"/>
  <c r="J4" i="29" s="1"/>
  <c r="K4" i="29" s="1"/>
  <c r="L4" i="29" s="1"/>
  <c r="M4" i="29" s="1"/>
  <c r="N4" i="29" s="1"/>
  <c r="O4" i="29" s="1"/>
  <c r="P4" i="29" s="1"/>
  <c r="C103" i="3"/>
  <c r="D103" i="3"/>
  <c r="E103" i="3"/>
  <c r="F103" i="3"/>
  <c r="G103" i="3"/>
  <c r="H103" i="3"/>
  <c r="I103" i="3"/>
  <c r="J103" i="3"/>
  <c r="K103" i="3"/>
  <c r="L103" i="3"/>
  <c r="M103" i="3"/>
  <c r="B103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C151" i="3"/>
  <c r="D151" i="3"/>
  <c r="E151" i="3"/>
  <c r="F151" i="3"/>
  <c r="G151" i="3"/>
  <c r="H151" i="3"/>
  <c r="I151" i="3"/>
  <c r="J151" i="3"/>
  <c r="K151" i="3"/>
  <c r="L151" i="3"/>
  <c r="M151" i="3"/>
  <c r="B151" i="3"/>
  <c r="C91" i="3"/>
  <c r="D91" i="3"/>
  <c r="E91" i="3"/>
  <c r="F91" i="3"/>
  <c r="G91" i="3"/>
  <c r="H91" i="3"/>
  <c r="I91" i="3"/>
  <c r="J91" i="3"/>
  <c r="K91" i="3"/>
  <c r="L91" i="3"/>
  <c r="M91" i="3"/>
  <c r="B91" i="3"/>
  <c r="C83" i="3"/>
  <c r="D83" i="3"/>
  <c r="E83" i="3"/>
  <c r="F83" i="3"/>
  <c r="G83" i="3"/>
  <c r="H83" i="3"/>
  <c r="I83" i="3"/>
  <c r="J83" i="3"/>
  <c r="K83" i="3"/>
  <c r="L83" i="3"/>
  <c r="M83" i="3"/>
  <c r="B83" i="3"/>
  <c r="B73" i="3"/>
  <c r="E73" i="3"/>
  <c r="E19" i="15"/>
  <c r="F19" i="15"/>
  <c r="G19" i="15"/>
  <c r="G16" i="15" s="1"/>
  <c r="H19" i="15"/>
  <c r="H16" i="15" s="1"/>
  <c r="I19" i="15"/>
  <c r="J19" i="15"/>
  <c r="K19" i="15"/>
  <c r="L19" i="15"/>
  <c r="M19" i="15"/>
  <c r="N19" i="15"/>
  <c r="O19" i="15"/>
  <c r="E17" i="15"/>
  <c r="F17" i="15"/>
  <c r="F16" i="15" s="1"/>
  <c r="I17" i="15"/>
  <c r="J17" i="15"/>
  <c r="K17" i="15"/>
  <c r="L17" i="15"/>
  <c r="M17" i="15"/>
  <c r="N17" i="15"/>
  <c r="O17" i="15"/>
  <c r="E17" i="23"/>
  <c r="G17" i="23"/>
  <c r="H17" i="23"/>
  <c r="F59" i="3" s="1"/>
  <c r="I17" i="23"/>
  <c r="G59" i="3" s="1"/>
  <c r="J17" i="23"/>
  <c r="H59" i="3" s="1"/>
  <c r="K17" i="23"/>
  <c r="I59" i="3" s="1"/>
  <c r="L17" i="23"/>
  <c r="M17" i="23"/>
  <c r="N17" i="23"/>
  <c r="L59" i="3" s="1"/>
  <c r="O17" i="23"/>
  <c r="M59" i="3" s="1"/>
  <c r="E18" i="23"/>
  <c r="G18" i="23"/>
  <c r="G15" i="23" s="1"/>
  <c r="H18" i="23"/>
  <c r="I18" i="23"/>
  <c r="J18" i="23"/>
  <c r="K18" i="23"/>
  <c r="I68" i="3" s="1"/>
  <c r="L18" i="23"/>
  <c r="J68" i="3" s="1"/>
  <c r="M18" i="23"/>
  <c r="K68" i="3" s="1"/>
  <c r="N18" i="23"/>
  <c r="L68" i="3" s="1"/>
  <c r="O18" i="23"/>
  <c r="M68" i="3" s="1"/>
  <c r="D17" i="23"/>
  <c r="B59" i="3" s="1"/>
  <c r="D18" i="23"/>
  <c r="B68" i="3" s="1"/>
  <c r="C68" i="3"/>
  <c r="F68" i="3"/>
  <c r="G68" i="3"/>
  <c r="C59" i="3"/>
  <c r="E59" i="3"/>
  <c r="P56" i="15"/>
  <c r="E15" i="23"/>
  <c r="P19" i="23"/>
  <c r="P16" i="23"/>
  <c r="C49" i="3"/>
  <c r="D49" i="3"/>
  <c r="E49" i="3"/>
  <c r="F49" i="3"/>
  <c r="G49" i="3"/>
  <c r="H49" i="3"/>
  <c r="I49" i="3"/>
  <c r="J49" i="3"/>
  <c r="K49" i="3"/>
  <c r="L49" i="3"/>
  <c r="M49" i="3"/>
  <c r="B49" i="3"/>
  <c r="D11" i="16"/>
  <c r="G47" i="16"/>
  <c r="C67" i="3"/>
  <c r="D67" i="3"/>
  <c r="E67" i="3"/>
  <c r="F67" i="3"/>
  <c r="G67" i="3"/>
  <c r="H67" i="3"/>
  <c r="I67" i="3"/>
  <c r="J67" i="3"/>
  <c r="K67" i="3"/>
  <c r="L67" i="3"/>
  <c r="M67" i="3"/>
  <c r="B67" i="3"/>
  <c r="G46" i="16"/>
  <c r="Q1" i="29" l="1"/>
  <c r="P1" i="29"/>
  <c r="N16" i="15"/>
  <c r="J73" i="3"/>
  <c r="L16" i="15"/>
  <c r="K73" i="3"/>
  <c r="M16" i="15"/>
  <c r="I73" i="3"/>
  <c r="K16" i="15"/>
  <c r="H73" i="3"/>
  <c r="J16" i="15"/>
  <c r="C73" i="3"/>
  <c r="E16" i="15"/>
  <c r="M73" i="3"/>
  <c r="O16" i="15"/>
  <c r="G73" i="3"/>
  <c r="I16" i="15"/>
  <c r="F27" i="29"/>
  <c r="F20" i="29" s="1"/>
  <c r="I5" i="29"/>
  <c r="G27" i="29"/>
  <c r="G20" i="29" s="1"/>
  <c r="H27" i="29"/>
  <c r="H20" i="29" s="1"/>
  <c r="L27" i="29"/>
  <c r="L20" i="29" s="1"/>
  <c r="M27" i="29"/>
  <c r="M20" i="29" s="1"/>
  <c r="N27" i="29"/>
  <c r="O27" i="29"/>
  <c r="O20" i="29" s="1"/>
  <c r="P27" i="29"/>
  <c r="P20" i="29" s="1"/>
  <c r="Q27" i="29"/>
  <c r="Q20" i="29" s="1"/>
  <c r="L73" i="3"/>
  <c r="P19" i="15"/>
  <c r="D21" i="29"/>
  <c r="M1" i="29"/>
  <c r="D14" i="29"/>
  <c r="I1" i="29"/>
  <c r="P5" i="29"/>
  <c r="K6" i="29"/>
  <c r="D7" i="29"/>
  <c r="O6" i="29"/>
  <c r="F73" i="3"/>
  <c r="D73" i="3"/>
  <c r="H15" i="23"/>
  <c r="L15" i="23"/>
  <c r="E68" i="3"/>
  <c r="N5" i="29"/>
  <c r="N1" i="29"/>
  <c r="M5" i="29"/>
  <c r="Q5" i="29"/>
  <c r="D9" i="29"/>
  <c r="D8" i="29"/>
  <c r="L5" i="29"/>
  <c r="L1" i="29"/>
  <c r="G5" i="29"/>
  <c r="J6" i="29"/>
  <c r="G1" i="29"/>
  <c r="H1" i="29"/>
  <c r="F5" i="29"/>
  <c r="F68" i="29" s="1"/>
  <c r="F1" i="29"/>
  <c r="Q4" i="29"/>
  <c r="H5" i="29"/>
  <c r="M15" i="23"/>
  <c r="J59" i="3"/>
  <c r="P17" i="15"/>
  <c r="K59" i="3"/>
  <c r="O15" i="23"/>
  <c r="D15" i="23"/>
  <c r="K15" i="23"/>
  <c r="N15" i="23"/>
  <c r="J15" i="23"/>
  <c r="I15" i="23"/>
  <c r="D41" i="3" l="1"/>
  <c r="D40" i="3" s="1"/>
  <c r="H68" i="29"/>
  <c r="H41" i="3"/>
  <c r="L42" i="29" s="1"/>
  <c r="L68" i="29"/>
  <c r="M41" i="3"/>
  <c r="M40" i="3" s="1"/>
  <c r="Q68" i="29"/>
  <c r="L41" i="3"/>
  <c r="L40" i="3" s="1"/>
  <c r="P68" i="29"/>
  <c r="I41" i="3"/>
  <c r="I40" i="3" s="1"/>
  <c r="M68" i="29"/>
  <c r="C41" i="3"/>
  <c r="G42" i="29" s="1"/>
  <c r="G68" i="29"/>
  <c r="J41" i="3"/>
  <c r="J40" i="3" s="1"/>
  <c r="N68" i="29"/>
  <c r="E158" i="3"/>
  <c r="I68" i="29"/>
  <c r="E220" i="3"/>
  <c r="E41" i="3"/>
  <c r="B158" i="3"/>
  <c r="B41" i="3"/>
  <c r="F42" i="29" s="1"/>
  <c r="D13" i="28"/>
  <c r="K4" i="32"/>
  <c r="K5" i="32" s="1"/>
  <c r="J201" i="3" s="1"/>
  <c r="L13" i="28"/>
  <c r="F4" i="32"/>
  <c r="F5" i="32" s="1"/>
  <c r="E201" i="3" s="1"/>
  <c r="G13" i="28"/>
  <c r="E4" i="32"/>
  <c r="E5" i="32" s="1"/>
  <c r="D201" i="3" s="1"/>
  <c r="F13" i="28"/>
  <c r="D4" i="32"/>
  <c r="D5" i="32" s="1"/>
  <c r="E13" i="28"/>
  <c r="I4" i="32"/>
  <c r="I5" i="32" s="1"/>
  <c r="H201" i="3" s="1"/>
  <c r="J13" i="28"/>
  <c r="F19" i="29"/>
  <c r="J4" i="32"/>
  <c r="J5" i="32" s="1"/>
  <c r="I201" i="3" s="1"/>
  <c r="K13" i="28"/>
  <c r="C4" i="32"/>
  <c r="C5" i="32" s="1"/>
  <c r="B201" i="3" s="1"/>
  <c r="F73" i="29" s="1"/>
  <c r="F72" i="29" s="1"/>
  <c r="F32" i="29"/>
  <c r="N4" i="32"/>
  <c r="N5" i="32" s="1"/>
  <c r="M201" i="3" s="1"/>
  <c r="O13" i="28"/>
  <c r="M4" i="32"/>
  <c r="M5" i="32" s="1"/>
  <c r="L201" i="3" s="1"/>
  <c r="N13" i="28"/>
  <c r="M220" i="3"/>
  <c r="M158" i="3"/>
  <c r="C220" i="3"/>
  <c r="C158" i="3"/>
  <c r="L220" i="3"/>
  <c r="L158" i="3"/>
  <c r="I220" i="3"/>
  <c r="I158" i="3"/>
  <c r="H220" i="3"/>
  <c r="H158" i="3"/>
  <c r="J220" i="3"/>
  <c r="J158" i="3"/>
  <c r="D220" i="3"/>
  <c r="D158" i="3"/>
  <c r="P19" i="29"/>
  <c r="B220" i="3"/>
  <c r="P32" i="29"/>
  <c r="P33" i="29" s="1"/>
  <c r="I27" i="29"/>
  <c r="I20" i="29" s="1"/>
  <c r="D30" i="29"/>
  <c r="L19" i="29"/>
  <c r="K27" i="29"/>
  <c r="K20" i="29" s="1"/>
  <c r="O1" i="29"/>
  <c r="Q32" i="29"/>
  <c r="Q33" i="29" s="1"/>
  <c r="G19" i="29"/>
  <c r="N20" i="29"/>
  <c r="N32" i="29" s="1"/>
  <c r="N33" i="29" s="1"/>
  <c r="K5" i="29"/>
  <c r="K68" i="29" s="1"/>
  <c r="J27" i="29"/>
  <c r="J20" i="29" s="1"/>
  <c r="K1" i="29"/>
  <c r="O5" i="29"/>
  <c r="O68" i="29" s="1"/>
  <c r="Q19" i="29"/>
  <c r="L32" i="29"/>
  <c r="L33" i="29" s="1"/>
  <c r="M32" i="29"/>
  <c r="M33" i="29" s="1"/>
  <c r="M19" i="29"/>
  <c r="G32" i="29"/>
  <c r="G33" i="29" s="1"/>
  <c r="J5" i="29"/>
  <c r="J1" i="29"/>
  <c r="D6" i="29"/>
  <c r="H32" i="29"/>
  <c r="H19" i="29"/>
  <c r="R47" i="16"/>
  <c r="R48" i="16"/>
  <c r="H46" i="16"/>
  <c r="I46" i="16"/>
  <c r="J46" i="16"/>
  <c r="K46" i="16"/>
  <c r="F58" i="3" s="1"/>
  <c r="L46" i="16"/>
  <c r="G58" i="3" s="1"/>
  <c r="M46" i="16"/>
  <c r="H58" i="3" s="1"/>
  <c r="N46" i="16"/>
  <c r="I58" i="3" s="1"/>
  <c r="O46" i="16"/>
  <c r="J58" i="3" s="1"/>
  <c r="P46" i="16"/>
  <c r="K58" i="3" s="1"/>
  <c r="Q46" i="16"/>
  <c r="R46" i="16"/>
  <c r="M58" i="3" s="1"/>
  <c r="B58" i="3"/>
  <c r="C58" i="3"/>
  <c r="D58" i="3"/>
  <c r="E58" i="3"/>
  <c r="L58" i="3"/>
  <c r="D50" i="3"/>
  <c r="E50" i="3"/>
  <c r="F50" i="3"/>
  <c r="G50" i="3"/>
  <c r="H50" i="3"/>
  <c r="J50" i="3"/>
  <c r="K50" i="3"/>
  <c r="L50" i="3"/>
  <c r="M50" i="3"/>
  <c r="B50" i="3"/>
  <c r="H40" i="3" l="1"/>
  <c r="N42" i="29"/>
  <c r="P42" i="29"/>
  <c r="Q42" i="29"/>
  <c r="G41" i="3"/>
  <c r="K42" i="29" s="1"/>
  <c r="M42" i="29"/>
  <c r="F41" i="3"/>
  <c r="F40" i="3" s="1"/>
  <c r="J68" i="29"/>
  <c r="H42" i="29"/>
  <c r="C40" i="3"/>
  <c r="L15" i="28"/>
  <c r="J159" i="3"/>
  <c r="G90" i="29"/>
  <c r="G84" i="29" s="1"/>
  <c r="C214" i="3"/>
  <c r="J15" i="28"/>
  <c r="H159" i="3"/>
  <c r="O19" i="29"/>
  <c r="K41" i="3"/>
  <c r="L73" i="29"/>
  <c r="L72" i="29" s="1"/>
  <c r="H200" i="3"/>
  <c r="N73" i="29"/>
  <c r="N72" i="29" s="1"/>
  <c r="J200" i="3"/>
  <c r="H90" i="29"/>
  <c r="H84" i="29" s="1"/>
  <c r="D214" i="3"/>
  <c r="Q90" i="29"/>
  <c r="Q84" i="29" s="1"/>
  <c r="M214" i="3"/>
  <c r="E15" i="28"/>
  <c r="C159" i="3"/>
  <c r="M90" i="29"/>
  <c r="M84" i="29" s="1"/>
  <c r="I214" i="3"/>
  <c r="P90" i="29"/>
  <c r="P84" i="29" s="1"/>
  <c r="L214" i="3"/>
  <c r="F90" i="29"/>
  <c r="F84" i="29" s="1"/>
  <c r="B214" i="3"/>
  <c r="N15" i="28"/>
  <c r="L159" i="3"/>
  <c r="B159" i="3"/>
  <c r="M73" i="29"/>
  <c r="M72" i="29" s="1"/>
  <c r="I200" i="3"/>
  <c r="N90" i="29"/>
  <c r="N84" i="29" s="1"/>
  <c r="J214" i="3"/>
  <c r="P73" i="29"/>
  <c r="P72" i="29" s="1"/>
  <c r="L200" i="3"/>
  <c r="F15" i="28"/>
  <c r="D159" i="3"/>
  <c r="O15" i="28"/>
  <c r="M159" i="3"/>
  <c r="H73" i="29"/>
  <c r="H72" i="29" s="1"/>
  <c r="D200" i="3"/>
  <c r="K15" i="28"/>
  <c r="I159" i="3"/>
  <c r="Q73" i="29"/>
  <c r="Q72" i="29" s="1"/>
  <c r="M200" i="3"/>
  <c r="G15" i="28"/>
  <c r="E159" i="3"/>
  <c r="L90" i="29"/>
  <c r="L84" i="29" s="1"/>
  <c r="H214" i="3"/>
  <c r="I73" i="29"/>
  <c r="I72" i="29" s="1"/>
  <c r="E200" i="3"/>
  <c r="I90" i="29"/>
  <c r="I84" i="29" s="1"/>
  <c r="E214" i="3"/>
  <c r="B40" i="3"/>
  <c r="E40" i="3"/>
  <c r="I42" i="29"/>
  <c r="D15" i="28"/>
  <c r="H4" i="32"/>
  <c r="H5" i="32" s="1"/>
  <c r="G201" i="3" s="1"/>
  <c r="I13" i="28"/>
  <c r="L4" i="32"/>
  <c r="L5" i="32" s="1"/>
  <c r="K201" i="3" s="1"/>
  <c r="M13" i="28"/>
  <c r="G4" i="32"/>
  <c r="G5" i="32" s="1"/>
  <c r="F201" i="3" s="1"/>
  <c r="H13" i="28"/>
  <c r="C201" i="3"/>
  <c r="N19" i="29"/>
  <c r="K220" i="3"/>
  <c r="K158" i="3"/>
  <c r="G220" i="3"/>
  <c r="G158" i="3"/>
  <c r="K19" i="29"/>
  <c r="K32" i="29"/>
  <c r="K33" i="29" s="1"/>
  <c r="F220" i="3"/>
  <c r="F158" i="3"/>
  <c r="D5" i="29"/>
  <c r="I32" i="29"/>
  <c r="I33" i="29" s="1"/>
  <c r="D20" i="29"/>
  <c r="I19" i="29"/>
  <c r="O32" i="29"/>
  <c r="O33" i="29" s="1"/>
  <c r="D27" i="29"/>
  <c r="F33" i="29"/>
  <c r="J19" i="29"/>
  <c r="J32" i="29"/>
  <c r="H33" i="29"/>
  <c r="D68" i="29" l="1"/>
  <c r="G40" i="3"/>
  <c r="J42" i="29"/>
  <c r="K73" i="29"/>
  <c r="K72" i="29" s="1"/>
  <c r="G200" i="3"/>
  <c r="K90" i="29"/>
  <c r="K84" i="29" s="1"/>
  <c r="G214" i="3"/>
  <c r="K40" i="3"/>
  <c r="O42" i="29"/>
  <c r="G73" i="29"/>
  <c r="G72" i="29" s="1"/>
  <c r="C200" i="3"/>
  <c r="H15" i="28"/>
  <c r="F159" i="3"/>
  <c r="O90" i="29"/>
  <c r="O84" i="29" s="1"/>
  <c r="K214" i="3"/>
  <c r="J73" i="29"/>
  <c r="J72" i="29" s="1"/>
  <c r="F200" i="3"/>
  <c r="M15" i="28"/>
  <c r="K159" i="3"/>
  <c r="P13" i="28"/>
  <c r="O73" i="29"/>
  <c r="O72" i="29" s="1"/>
  <c r="K200" i="3"/>
  <c r="J90" i="29"/>
  <c r="J84" i="29" s="1"/>
  <c r="F214" i="3"/>
  <c r="I15" i="28"/>
  <c r="G159" i="3"/>
  <c r="O5" i="32"/>
  <c r="O4" i="32"/>
  <c r="D19" i="29"/>
  <c r="J33" i="29"/>
  <c r="D32" i="29"/>
  <c r="D33" i="29" s="1"/>
  <c r="R40" i="3" l="1"/>
  <c r="R41" i="3" s="1"/>
  <c r="D42" i="29"/>
  <c r="R214" i="3"/>
  <c r="R215" i="3" s="1"/>
  <c r="D72" i="29"/>
  <c r="P15" i="28"/>
  <c r="D84" i="29"/>
  <c r="D90" i="29"/>
  <c r="D73" i="29"/>
  <c r="P7" i="25"/>
  <c r="F52" i="15"/>
  <c r="G52" i="15"/>
  <c r="G46" i="15" s="1"/>
  <c r="H52" i="15"/>
  <c r="H46" i="15" s="1"/>
  <c r="I52" i="15"/>
  <c r="I46" i="15" s="1"/>
  <c r="J52" i="15"/>
  <c r="J46" i="15" s="1"/>
  <c r="K52" i="15"/>
  <c r="K46" i="15" s="1"/>
  <c r="L52" i="15"/>
  <c r="L46" i="15" s="1"/>
  <c r="M52" i="15"/>
  <c r="M46" i="15" s="1"/>
  <c r="N52" i="15"/>
  <c r="N46" i="15" s="1"/>
  <c r="O52" i="15"/>
  <c r="O46" i="15" s="1"/>
  <c r="P52" i="15"/>
  <c r="E52" i="15"/>
  <c r="I42" i="23"/>
  <c r="O44" i="23"/>
  <c r="E44" i="23"/>
  <c r="F68" i="23"/>
  <c r="F67" i="23"/>
  <c r="I65" i="23"/>
  <c r="I64" i="23"/>
  <c r="I62" i="23"/>
  <c r="I61" i="23"/>
  <c r="I60" i="23"/>
  <c r="M44" i="23" s="1"/>
  <c r="I59" i="23"/>
  <c r="K44" i="23" s="1"/>
  <c r="I58" i="23"/>
  <c r="H44" i="23" s="1"/>
  <c r="I57" i="23"/>
  <c r="I56" i="23"/>
  <c r="I55" i="23"/>
  <c r="G45" i="23" s="1"/>
  <c r="I54" i="23"/>
  <c r="G44" i="23" s="1"/>
  <c r="I53" i="23"/>
  <c r="D45" i="23" s="1"/>
  <c r="I52" i="23"/>
  <c r="I51" i="23"/>
  <c r="I50" i="23"/>
  <c r="I49" i="23"/>
  <c r="L43" i="23" s="1"/>
  <c r="J43" i="23"/>
  <c r="H51" i="3" s="1"/>
  <c r="E25" i="23"/>
  <c r="F25" i="23"/>
  <c r="G25" i="23"/>
  <c r="H25" i="23"/>
  <c r="I25" i="23"/>
  <c r="J25" i="23"/>
  <c r="K25" i="23"/>
  <c r="L25" i="23"/>
  <c r="M25" i="23"/>
  <c r="N25" i="23"/>
  <c r="O25" i="23"/>
  <c r="E33" i="23"/>
  <c r="F33" i="23"/>
  <c r="G33" i="23"/>
  <c r="H33" i="23"/>
  <c r="I33" i="23"/>
  <c r="J33" i="23"/>
  <c r="K33" i="23"/>
  <c r="M33" i="23"/>
  <c r="N33" i="23"/>
  <c r="O33" i="23"/>
  <c r="L33" i="23"/>
  <c r="D33" i="23"/>
  <c r="P29" i="15"/>
  <c r="P30" i="15"/>
  <c r="P28" i="15"/>
  <c r="Q52" i="15" l="1"/>
  <c r="P27" i="15"/>
  <c r="E45" i="23"/>
  <c r="F42" i="23"/>
  <c r="O42" i="23"/>
  <c r="L42" i="23"/>
  <c r="N45" i="23"/>
  <c r="K42" i="23"/>
  <c r="M45" i="23"/>
  <c r="H45" i="23"/>
  <c r="E42" i="23"/>
  <c r="P43" i="23"/>
  <c r="G42" i="23"/>
  <c r="J42" i="23"/>
  <c r="P44" i="23"/>
  <c r="P42" i="23" l="1"/>
  <c r="M42" i="23"/>
  <c r="N42" i="23"/>
  <c r="H42" i="23"/>
  <c r="P5" i="13"/>
  <c r="AC41" i="25"/>
  <c r="AC39" i="25"/>
  <c r="AC38" i="25"/>
  <c r="V35" i="25"/>
  <c r="AC35" i="25" s="1"/>
  <c r="AC36" i="25" l="1"/>
  <c r="AC20" i="25"/>
  <c r="R37" i="25"/>
  <c r="AC37" i="25" s="1"/>
  <c r="AB34" i="25"/>
  <c r="Z34" i="25"/>
  <c r="X34" i="25"/>
  <c r="V34" i="25"/>
  <c r="T34" i="25"/>
  <c r="R34" i="25"/>
  <c r="P34" i="25"/>
  <c r="N34" i="25"/>
  <c r="L34" i="25"/>
  <c r="J34" i="25"/>
  <c r="H34" i="25"/>
  <c r="F34" i="25"/>
  <c r="AB33" i="25"/>
  <c r="P47" i="25" s="1"/>
  <c r="Z33" i="25"/>
  <c r="X33" i="25"/>
  <c r="N47" i="25" s="1"/>
  <c r="V33" i="25"/>
  <c r="M47" i="25" s="1"/>
  <c r="T33" i="25"/>
  <c r="L47" i="25" s="1"/>
  <c r="R33" i="25"/>
  <c r="P33" i="25"/>
  <c r="N33" i="25"/>
  <c r="I47" i="25" s="1"/>
  <c r="L33" i="25"/>
  <c r="J33" i="25"/>
  <c r="H33" i="25"/>
  <c r="F47" i="25" s="1"/>
  <c r="F33" i="25"/>
  <c r="K47" i="25" l="1"/>
  <c r="J47" i="25"/>
  <c r="O47" i="25"/>
  <c r="G47" i="25"/>
  <c r="H47" i="25"/>
  <c r="AC33" i="25"/>
  <c r="AC34" i="25"/>
  <c r="Q47" i="25" l="1"/>
  <c r="D9" i="25"/>
  <c r="P5" i="25"/>
  <c r="E9" i="25" l="1"/>
  <c r="F9" i="25" l="1"/>
  <c r="G9" i="25"/>
  <c r="H9" i="25" l="1"/>
  <c r="I9" i="25" l="1"/>
  <c r="J9" i="25" l="1"/>
  <c r="K9" i="25" l="1"/>
  <c r="L9" i="25" l="1"/>
  <c r="M9" i="25" l="1"/>
  <c r="N9" i="25" l="1"/>
  <c r="O9" i="25"/>
  <c r="P6" i="25"/>
  <c r="P9" i="25" s="1"/>
  <c r="K136" i="27" l="1"/>
  <c r="L136" i="27" s="1"/>
  <c r="K135" i="27"/>
  <c r="L135" i="27" s="1"/>
  <c r="K134" i="27"/>
  <c r="L134" i="27" s="1"/>
  <c r="K133" i="27"/>
  <c r="L133" i="27" s="1"/>
  <c r="K132" i="27"/>
  <c r="K112" i="27"/>
  <c r="L112" i="27" s="1"/>
  <c r="K111" i="27"/>
  <c r="L111" i="27" s="1"/>
  <c r="K110" i="27"/>
  <c r="L110" i="27" s="1"/>
  <c r="K109" i="27"/>
  <c r="L109" i="27" s="1"/>
  <c r="K108" i="27"/>
  <c r="K124" i="27"/>
  <c r="K123" i="27"/>
  <c r="L123" i="27" s="1"/>
  <c r="K122" i="27"/>
  <c r="L122" i="27" s="1"/>
  <c r="K121" i="27"/>
  <c r="L121" i="27" s="1"/>
  <c r="K120" i="27"/>
  <c r="L120" i="27" s="1"/>
  <c r="K118" i="27"/>
  <c r="K117" i="27"/>
  <c r="L117" i="27" s="1"/>
  <c r="K116" i="27"/>
  <c r="L116" i="27" s="1"/>
  <c r="K115" i="27"/>
  <c r="L115" i="27" s="1"/>
  <c r="K114" i="27"/>
  <c r="L114" i="27" s="1"/>
  <c r="L106" i="27"/>
  <c r="P107" i="27" s="1"/>
  <c r="K130" i="27"/>
  <c r="L130" i="27" s="1"/>
  <c r="L102" i="27"/>
  <c r="P103" i="27" s="1"/>
  <c r="L103" i="27"/>
  <c r="P104" i="27" s="1"/>
  <c r="L104" i="27"/>
  <c r="P105" i="27" s="1"/>
  <c r="L105" i="27"/>
  <c r="P106" i="27" s="1"/>
  <c r="J107" i="27"/>
  <c r="K129" i="27"/>
  <c r="L129" i="27" s="1"/>
  <c r="K128" i="27"/>
  <c r="L128" i="27" s="1"/>
  <c r="K127" i="27"/>
  <c r="L127" i="27" s="1"/>
  <c r="K126" i="27"/>
  <c r="L126" i="27" s="1"/>
  <c r="Q47" i="27" l="1"/>
  <c r="P108" i="27"/>
  <c r="Q49" i="27"/>
  <c r="Q48" i="27"/>
  <c r="Q50" i="27"/>
  <c r="K137" i="27"/>
  <c r="K113" i="27"/>
  <c r="L132" i="27"/>
  <c r="L137" i="27" s="1"/>
  <c r="L108" i="27"/>
  <c r="K125" i="27"/>
  <c r="K119" i="27"/>
  <c r="K131" i="27"/>
  <c r="L107" i="27"/>
  <c r="L138" i="27" s="1"/>
  <c r="L131" i="27"/>
  <c r="L118" i="27"/>
  <c r="L119" i="27" s="1"/>
  <c r="L124" i="27"/>
  <c r="L125" i="27" s="1"/>
  <c r="Q51" i="27" l="1"/>
  <c r="L113" i="27"/>
  <c r="K93" i="27"/>
  <c r="L93" i="27" s="1"/>
  <c r="K89" i="27"/>
  <c r="L89" i="27" s="1"/>
  <c r="K92" i="27"/>
  <c r="L92" i="27" s="1"/>
  <c r="K91" i="27"/>
  <c r="L91" i="27" s="1"/>
  <c r="K90" i="27"/>
  <c r="L90" i="27" s="1"/>
  <c r="J94" i="27"/>
  <c r="K87" i="27"/>
  <c r="L87" i="27" s="1"/>
  <c r="K86" i="27"/>
  <c r="L86" i="27" s="1"/>
  <c r="K85" i="27"/>
  <c r="L85" i="27" s="1"/>
  <c r="K84" i="27"/>
  <c r="L84" i="27" s="1"/>
  <c r="K83" i="27"/>
  <c r="L83" i="27" s="1"/>
  <c r="K63" i="27"/>
  <c r="L63" i="27" s="1"/>
  <c r="K81" i="27"/>
  <c r="K69" i="27"/>
  <c r="L69" i="27" s="1"/>
  <c r="K80" i="27"/>
  <c r="L80" i="27" s="1"/>
  <c r="K79" i="27"/>
  <c r="L79" i="27" s="1"/>
  <c r="K78" i="27"/>
  <c r="L78" i="27" s="1"/>
  <c r="K77" i="27"/>
  <c r="L77" i="27" s="1"/>
  <c r="L41" i="27"/>
  <c r="P47" i="27" s="1"/>
  <c r="L44" i="27"/>
  <c r="P50" i="27" s="1"/>
  <c r="L43" i="27"/>
  <c r="P49" i="27" s="1"/>
  <c r="L42" i="27"/>
  <c r="K68" i="27"/>
  <c r="L68" i="27" s="1"/>
  <c r="K67" i="27"/>
  <c r="L67" i="27" s="1"/>
  <c r="K66" i="27"/>
  <c r="L66" i="27" s="1"/>
  <c r="K65" i="27"/>
  <c r="L65" i="27" s="1"/>
  <c r="K50" i="27"/>
  <c r="L50" i="27" s="1"/>
  <c r="K49" i="27"/>
  <c r="L49" i="27" s="1"/>
  <c r="K48" i="27"/>
  <c r="L48" i="27" s="1"/>
  <c r="L47" i="27"/>
  <c r="L51" i="27"/>
  <c r="K60" i="27"/>
  <c r="L60" i="27" s="1"/>
  <c r="K61" i="27"/>
  <c r="L61" i="27" s="1"/>
  <c r="K62" i="27"/>
  <c r="L62" i="27" s="1"/>
  <c r="K59" i="27"/>
  <c r="L59" i="27" s="1"/>
  <c r="K57" i="27"/>
  <c r="L57" i="27" s="1"/>
  <c r="K56" i="27"/>
  <c r="L56" i="27" s="1"/>
  <c r="K55" i="27"/>
  <c r="L55" i="27" s="1"/>
  <c r="K54" i="27"/>
  <c r="L54" i="27" s="1"/>
  <c r="K53" i="27"/>
  <c r="L53" i="27" s="1"/>
  <c r="I37" i="27"/>
  <c r="H35" i="27"/>
  <c r="I35" i="27" s="1"/>
  <c r="I31" i="27"/>
  <c r="H17" i="27"/>
  <c r="I17" i="27" s="1"/>
  <c r="I34" i="27"/>
  <c r="H32" i="27"/>
  <c r="I32" i="27" s="1"/>
  <c r="H29" i="27"/>
  <c r="I29" i="27" s="1"/>
  <c r="I28" i="27"/>
  <c r="I27" i="27"/>
  <c r="H26" i="27"/>
  <c r="I26" i="27" s="1"/>
  <c r="I25" i="27"/>
  <c r="I24" i="27"/>
  <c r="H23" i="27"/>
  <c r="I23" i="27" s="1"/>
  <c r="I18" i="27"/>
  <c r="I22" i="27"/>
  <c r="H20" i="27"/>
  <c r="I20" i="27" s="1"/>
  <c r="P7" i="7"/>
  <c r="O7" i="7"/>
  <c r="N7" i="7"/>
  <c r="M7" i="7"/>
  <c r="L7" i="7"/>
  <c r="K7" i="7"/>
  <c r="J7" i="7"/>
  <c r="I7" i="7"/>
  <c r="H7" i="7"/>
  <c r="G7" i="7"/>
  <c r="F7" i="7"/>
  <c r="E7" i="7"/>
  <c r="P6" i="7"/>
  <c r="M112" i="3" s="1"/>
  <c r="O6" i="7"/>
  <c r="L112" i="3" s="1"/>
  <c r="N6" i="7"/>
  <c r="K112" i="3" s="1"/>
  <c r="M6" i="7"/>
  <c r="L6" i="7"/>
  <c r="K6" i="7"/>
  <c r="J6" i="7"/>
  <c r="G112" i="3" s="1"/>
  <c r="I6" i="7"/>
  <c r="H6" i="7"/>
  <c r="E112" i="3" s="1"/>
  <c r="G6" i="7"/>
  <c r="D112" i="3" s="1"/>
  <c r="F6" i="7"/>
  <c r="C112" i="3" s="1"/>
  <c r="E6" i="7"/>
  <c r="F13" i="27" l="1"/>
  <c r="D13" i="27"/>
  <c r="J13" i="27"/>
  <c r="N13" i="27"/>
  <c r="G13" i="27"/>
  <c r="H13" i="27"/>
  <c r="K13" i="27"/>
  <c r="E13" i="27"/>
  <c r="I13" i="27"/>
  <c r="O13" i="27"/>
  <c r="L13" i="27"/>
  <c r="M13" i="27"/>
  <c r="L45" i="27"/>
  <c r="L46" i="27" s="1"/>
  <c r="P48" i="27"/>
  <c r="J36" i="27"/>
  <c r="Q52" i="27"/>
  <c r="O9" i="27"/>
  <c r="M96" i="3" s="1"/>
  <c r="J9" i="27"/>
  <c r="H96" i="3" s="1"/>
  <c r="D9" i="27"/>
  <c r="B96" i="3" s="1"/>
  <c r="H9" i="27"/>
  <c r="F96" i="3" s="1"/>
  <c r="M9" i="27"/>
  <c r="K96" i="3" s="1"/>
  <c r="E9" i="27"/>
  <c r="C96" i="3" s="1"/>
  <c r="I9" i="27"/>
  <c r="G96" i="3" s="1"/>
  <c r="K9" i="27"/>
  <c r="I96" i="3" s="1"/>
  <c r="L9" i="27"/>
  <c r="J96" i="3" s="1"/>
  <c r="F9" i="27"/>
  <c r="D96" i="3" s="1"/>
  <c r="G9" i="27"/>
  <c r="E96" i="3" s="1"/>
  <c r="N9" i="27"/>
  <c r="L96" i="3" s="1"/>
  <c r="N10" i="27"/>
  <c r="L97" i="3" s="1"/>
  <c r="O10" i="27"/>
  <c r="M97" i="3" s="1"/>
  <c r="M10" i="27"/>
  <c r="K97" i="3" s="1"/>
  <c r="I10" i="27"/>
  <c r="G97" i="3" s="1"/>
  <c r="D10" i="27"/>
  <c r="B97" i="3" s="1"/>
  <c r="J10" i="27"/>
  <c r="H97" i="3" s="1"/>
  <c r="K10" i="27"/>
  <c r="I97" i="3" s="1"/>
  <c r="L10" i="27"/>
  <c r="J97" i="3" s="1"/>
  <c r="E10" i="27"/>
  <c r="C97" i="3" s="1"/>
  <c r="F10" i="27"/>
  <c r="D97" i="3" s="1"/>
  <c r="H10" i="27"/>
  <c r="F97" i="3" s="1"/>
  <c r="G10" i="27"/>
  <c r="E97" i="3" s="1"/>
  <c r="O8" i="27"/>
  <c r="M95" i="3" s="1"/>
  <c r="J18" i="27"/>
  <c r="H8" i="27"/>
  <c r="F95" i="3" s="1"/>
  <c r="D8" i="27"/>
  <c r="B95" i="3" s="1"/>
  <c r="K8" i="27"/>
  <c r="I95" i="3" s="1"/>
  <c r="L8" i="27"/>
  <c r="J95" i="3" s="1"/>
  <c r="E8" i="27"/>
  <c r="C95" i="3" s="1"/>
  <c r="G8" i="27"/>
  <c r="E95" i="3" s="1"/>
  <c r="N8" i="27"/>
  <c r="L95" i="3" s="1"/>
  <c r="F8" i="27"/>
  <c r="D95" i="3" s="1"/>
  <c r="I8" i="27"/>
  <c r="G95" i="3" s="1"/>
  <c r="J8" i="27"/>
  <c r="H95" i="3" s="1"/>
  <c r="M8" i="27"/>
  <c r="K95" i="3" s="1"/>
  <c r="Q6" i="7"/>
  <c r="B112" i="3"/>
  <c r="Q7" i="7"/>
  <c r="I112" i="3"/>
  <c r="J112" i="3"/>
  <c r="F112" i="3"/>
  <c r="H112" i="3"/>
  <c r="L94" i="27"/>
  <c r="K88" i="27"/>
  <c r="L52" i="27"/>
  <c r="L88" i="27"/>
  <c r="L64" i="27"/>
  <c r="K82" i="27"/>
  <c r="L82" i="27"/>
  <c r="L70" i="27"/>
  <c r="L58" i="27"/>
  <c r="K46" i="27"/>
  <c r="K52" i="27"/>
  <c r="K70" i="27"/>
  <c r="J21" i="27"/>
  <c r="K64" i="27"/>
  <c r="K58" i="27"/>
  <c r="J33" i="27"/>
  <c r="J30" i="27"/>
  <c r="J24" i="27"/>
  <c r="J27" i="27"/>
  <c r="P13" i="27" l="1"/>
  <c r="P51" i="27"/>
  <c r="G12" i="27"/>
  <c r="E99" i="3" s="1"/>
  <c r="H12" i="27"/>
  <c r="F99" i="3" s="1"/>
  <c r="D12" i="27"/>
  <c r="B99" i="3" s="1"/>
  <c r="L12" i="27"/>
  <c r="J99" i="3" s="1"/>
  <c r="N12" i="27"/>
  <c r="I12" i="27"/>
  <c r="G99" i="3" s="1"/>
  <c r="K12" i="27"/>
  <c r="I99" i="3" s="1"/>
  <c r="J12" i="27"/>
  <c r="H99" i="3" s="1"/>
  <c r="F12" i="27"/>
  <c r="D99" i="3" s="1"/>
  <c r="E12" i="27"/>
  <c r="C99" i="3" s="1"/>
  <c r="M12" i="27"/>
  <c r="K99" i="3" s="1"/>
  <c r="O12" i="27"/>
  <c r="M99" i="3" s="1"/>
  <c r="C100" i="3"/>
  <c r="K100" i="3"/>
  <c r="D100" i="3"/>
  <c r="E100" i="3"/>
  <c r="M100" i="3"/>
  <c r="F100" i="3"/>
  <c r="G100" i="3"/>
  <c r="H100" i="3"/>
  <c r="L100" i="3"/>
  <c r="B100" i="3"/>
  <c r="I100" i="3"/>
  <c r="J100" i="3"/>
  <c r="P52" i="27"/>
  <c r="P10" i="27"/>
  <c r="P9" i="27"/>
  <c r="K37" i="27"/>
  <c r="P12" i="27" l="1"/>
  <c r="L99" i="3"/>
  <c r="O11" i="27"/>
  <c r="K11" i="27"/>
  <c r="I98" i="3" s="1"/>
  <c r="I93" i="3" s="1"/>
  <c r="H11" i="27"/>
  <c r="L11" i="27"/>
  <c r="J98" i="3" s="1"/>
  <c r="J93" i="3" s="1"/>
  <c r="D11" i="27"/>
  <c r="I11" i="27"/>
  <c r="I6" i="27" s="1"/>
  <c r="E11" i="27"/>
  <c r="F11" i="27"/>
  <c r="J11" i="27"/>
  <c r="H98" i="3" s="1"/>
  <c r="H93" i="3" s="1"/>
  <c r="G11" i="27"/>
  <c r="M11" i="27"/>
  <c r="N11" i="27"/>
  <c r="L98" i="3" s="1"/>
  <c r="L93" i="3" s="1"/>
  <c r="D98" i="3"/>
  <c r="D93" i="3" s="1"/>
  <c r="E6" i="27"/>
  <c r="K98" i="3"/>
  <c r="K93" i="3" s="1"/>
  <c r="M98" i="3"/>
  <c r="M93" i="3" s="1"/>
  <c r="Q51" i="29" s="1"/>
  <c r="F6" i="27"/>
  <c r="P8" i="27"/>
  <c r="P7" i="27"/>
  <c r="P9" i="23"/>
  <c r="P24" i="23"/>
  <c r="P23" i="23"/>
  <c r="C116" i="3"/>
  <c r="D116" i="3"/>
  <c r="E116" i="3"/>
  <c r="F116" i="3"/>
  <c r="G116" i="3"/>
  <c r="H116" i="3"/>
  <c r="I116" i="3"/>
  <c r="J116" i="3"/>
  <c r="K116" i="3"/>
  <c r="L116" i="3"/>
  <c r="M116" i="3"/>
  <c r="B116" i="3"/>
  <c r="AC24" i="25"/>
  <c r="AC22" i="25"/>
  <c r="AC21" i="25"/>
  <c r="AC19" i="25"/>
  <c r="Q50" i="15"/>
  <c r="Q49" i="15"/>
  <c r="Q48" i="15"/>
  <c r="P35" i="23"/>
  <c r="P34" i="23"/>
  <c r="E32" i="23"/>
  <c r="C167" i="3" s="1"/>
  <c r="F32" i="23"/>
  <c r="D167" i="3" s="1"/>
  <c r="G32" i="23"/>
  <c r="E167" i="3" s="1"/>
  <c r="H32" i="23"/>
  <c r="F167" i="3" s="1"/>
  <c r="I32" i="23"/>
  <c r="G167" i="3" s="1"/>
  <c r="J32" i="23"/>
  <c r="H167" i="3" s="1"/>
  <c r="K32" i="23"/>
  <c r="I167" i="3" s="1"/>
  <c r="L32" i="23"/>
  <c r="J167" i="3" s="1"/>
  <c r="M32" i="23"/>
  <c r="K167" i="3" s="1"/>
  <c r="N32" i="23"/>
  <c r="L167" i="3" s="1"/>
  <c r="O32" i="23"/>
  <c r="M167" i="3" s="1"/>
  <c r="D32" i="23"/>
  <c r="B167" i="3" s="1"/>
  <c r="P33" i="23"/>
  <c r="C119" i="3"/>
  <c r="D119" i="3"/>
  <c r="E119" i="3"/>
  <c r="F119" i="3"/>
  <c r="G119" i="3"/>
  <c r="H119" i="3"/>
  <c r="I119" i="3"/>
  <c r="J119" i="3"/>
  <c r="K119" i="3"/>
  <c r="L119" i="3"/>
  <c r="M119" i="3"/>
  <c r="P25" i="15"/>
  <c r="P22" i="15"/>
  <c r="P23" i="15"/>
  <c r="P20" i="15" s="1"/>
  <c r="P16" i="15" s="1"/>
  <c r="P24" i="15"/>
  <c r="P21" i="15"/>
  <c r="E6" i="15"/>
  <c r="E7" i="15"/>
  <c r="E8" i="15"/>
  <c r="E9" i="15"/>
  <c r="D5" i="15"/>
  <c r="P11" i="27" l="1"/>
  <c r="N6" i="27"/>
  <c r="B98" i="3"/>
  <c r="G98" i="3"/>
  <c r="G93" i="3" s="1"/>
  <c r="M6" i="27"/>
  <c r="J6" i="27"/>
  <c r="H172" i="3"/>
  <c r="L172" i="3"/>
  <c r="D172" i="3"/>
  <c r="I172" i="3"/>
  <c r="K172" i="3"/>
  <c r="E172" i="3"/>
  <c r="G172" i="3"/>
  <c r="J172" i="3"/>
  <c r="M172" i="3"/>
  <c r="B172" i="3"/>
  <c r="C172" i="3"/>
  <c r="F172" i="3"/>
  <c r="K6" i="27"/>
  <c r="L6" i="27"/>
  <c r="D6" i="27"/>
  <c r="C98" i="3"/>
  <c r="C93" i="3" s="1"/>
  <c r="E98" i="3"/>
  <c r="E93" i="3" s="1"/>
  <c r="G6" i="27"/>
  <c r="F98" i="3"/>
  <c r="F93" i="3" s="1"/>
  <c r="H6" i="27"/>
  <c r="O6" i="27"/>
  <c r="D10" i="15"/>
  <c r="P6" i="27"/>
  <c r="P8" i="23"/>
  <c r="P32" i="23"/>
  <c r="P6" i="23"/>
  <c r="P7" i="23"/>
  <c r="P5" i="23"/>
  <c r="E5" i="15"/>
  <c r="E10" i="15" s="1"/>
  <c r="H47" i="16" l="1"/>
  <c r="I47" i="16"/>
  <c r="J47" i="16"/>
  <c r="K47" i="16"/>
  <c r="L47" i="16"/>
  <c r="M47" i="16"/>
  <c r="N47" i="16"/>
  <c r="O47" i="16"/>
  <c r="P47" i="16"/>
  <c r="Q47" i="16"/>
  <c r="S44" i="16"/>
  <c r="S45" i="16"/>
  <c r="S43" i="16"/>
  <c r="S42" i="16"/>
  <c r="S41" i="16"/>
  <c r="S39" i="16"/>
  <c r="S32" i="16"/>
  <c r="S31" i="16"/>
  <c r="S23" i="16"/>
  <c r="H19" i="16" l="1"/>
  <c r="H21" i="16" s="1"/>
  <c r="I19" i="16"/>
  <c r="I21" i="16" s="1"/>
  <c r="J19" i="16"/>
  <c r="J21" i="16" s="1"/>
  <c r="K19" i="16"/>
  <c r="K21" i="16" s="1"/>
  <c r="L19" i="16"/>
  <c r="L21" i="16" s="1"/>
  <c r="M19" i="16"/>
  <c r="M21" i="16" s="1"/>
  <c r="N19" i="16"/>
  <c r="N21" i="16" s="1"/>
  <c r="O19" i="16"/>
  <c r="O21" i="16" s="1"/>
  <c r="P19" i="16"/>
  <c r="P21" i="16" s="1"/>
  <c r="Q19" i="16"/>
  <c r="Q21" i="16" s="1"/>
  <c r="R19" i="16"/>
  <c r="R21" i="16" s="1"/>
  <c r="G19" i="16"/>
  <c r="G21" i="16" s="1"/>
  <c r="S36" i="16"/>
  <c r="S35" i="16"/>
  <c r="S34" i="16"/>
  <c r="S33" i="16"/>
  <c r="S29" i="16"/>
  <c r="S28" i="16"/>
  <c r="S27" i="16"/>
  <c r="S26" i="16"/>
  <c r="S25" i="16"/>
  <c r="L48" i="16"/>
  <c r="K48" i="16"/>
  <c r="S24" i="16"/>
  <c r="S22" i="16"/>
  <c r="F11" i="17"/>
  <c r="G11" i="17"/>
  <c r="H11" i="17"/>
  <c r="I11" i="17"/>
  <c r="J11" i="17"/>
  <c r="K11" i="17"/>
  <c r="L11" i="17"/>
  <c r="M11" i="17"/>
  <c r="N11" i="17"/>
  <c r="O11" i="17"/>
  <c r="E11" i="17"/>
  <c r="J8" i="16" l="1"/>
  <c r="I8" i="16"/>
  <c r="H8" i="16"/>
  <c r="G8" i="16"/>
  <c r="I7" i="16"/>
  <c r="H7" i="16"/>
  <c r="N8" i="16"/>
  <c r="G7" i="16"/>
  <c r="F8" i="16"/>
  <c r="D7" i="16"/>
  <c r="D12" i="16" s="1"/>
  <c r="B57" i="3" s="1"/>
  <c r="D8" i="16"/>
  <c r="M8" i="16"/>
  <c r="F7" i="16"/>
  <c r="E8" i="16"/>
  <c r="O8" i="16"/>
  <c r="L8" i="16"/>
  <c r="E7" i="16"/>
  <c r="K8" i="16"/>
  <c r="J48" i="16"/>
  <c r="S47" i="16"/>
  <c r="G48" i="16"/>
  <c r="S21" i="16"/>
  <c r="S46" i="16" s="1"/>
  <c r="H48" i="16"/>
  <c r="I48" i="16"/>
  <c r="D5" i="16" l="1"/>
  <c r="H43" i="10"/>
  <c r="O11" i="21"/>
  <c r="M11" i="21" s="1"/>
  <c r="O13" i="21"/>
  <c r="M13" i="21" s="1"/>
  <c r="O17" i="21"/>
  <c r="C17" i="21" s="1"/>
  <c r="O15" i="21"/>
  <c r="N15" i="21" s="1"/>
  <c r="AC19" i="21"/>
  <c r="AD19" i="21" s="1"/>
  <c r="AC6" i="21"/>
  <c r="AC7" i="21"/>
  <c r="AD7" i="21" s="1"/>
  <c r="AE7" i="21" s="1"/>
  <c r="AC11" i="21"/>
  <c r="AD11" i="21" s="1"/>
  <c r="AC12" i="21"/>
  <c r="AD12" i="21" s="1"/>
  <c r="AC13" i="21"/>
  <c r="AD13" i="21" s="1"/>
  <c r="AC14" i="21"/>
  <c r="AD14" i="21" s="1"/>
  <c r="AC15" i="21"/>
  <c r="AD15" i="21" s="1"/>
  <c r="AC16" i="21"/>
  <c r="AD16" i="21" s="1"/>
  <c r="AC17" i="21"/>
  <c r="AD17" i="21" s="1"/>
  <c r="AC18" i="21"/>
  <c r="AD18" i="21" s="1"/>
  <c r="AC20" i="21"/>
  <c r="AD20" i="21" s="1"/>
  <c r="AC5" i="21"/>
  <c r="AD5" i="21" s="1"/>
  <c r="O6" i="21"/>
  <c r="AE46" i="19"/>
  <c r="AF46" i="19" s="1"/>
  <c r="AE42" i="19"/>
  <c r="AF42" i="19"/>
  <c r="AE43" i="19"/>
  <c r="AF43" i="19" s="1"/>
  <c r="AG43" i="19" s="1"/>
  <c r="AT43" i="19" s="1"/>
  <c r="AE44" i="19"/>
  <c r="AF44" i="19" s="1"/>
  <c r="AE45" i="19"/>
  <c r="AF45" i="19" s="1"/>
  <c r="AG45" i="19" s="1"/>
  <c r="AT45" i="19" s="1"/>
  <c r="AH45" i="19" s="1"/>
  <c r="C45" i="19" s="1"/>
  <c r="B17" i="3" s="1"/>
  <c r="AE40" i="19"/>
  <c r="AF40" i="19" s="1"/>
  <c r="AG40" i="19" s="1"/>
  <c r="AT40" i="19" s="1"/>
  <c r="AG41" i="19"/>
  <c r="AT41" i="19" s="1"/>
  <c r="AJ41" i="19" s="1"/>
  <c r="E41" i="19" s="1"/>
  <c r="D13" i="3" s="1"/>
  <c r="AD39" i="19"/>
  <c r="AC39" i="19"/>
  <c r="AB39" i="19"/>
  <c r="AA39" i="19"/>
  <c r="Z39" i="19"/>
  <c r="Y39" i="19"/>
  <c r="X39" i="19"/>
  <c r="W39" i="19"/>
  <c r="V39" i="19"/>
  <c r="U39" i="19"/>
  <c r="C7" i="19"/>
  <c r="D7" i="19"/>
  <c r="E7" i="19"/>
  <c r="F7" i="19"/>
  <c r="G7" i="19"/>
  <c r="F5" i="3" s="1"/>
  <c r="H7" i="19"/>
  <c r="G5" i="3" s="1"/>
  <c r="I7" i="19"/>
  <c r="H5" i="3" s="1"/>
  <c r="J7" i="19"/>
  <c r="I5" i="3" s="1"/>
  <c r="K7" i="19"/>
  <c r="J5" i="3" s="1"/>
  <c r="L7" i="19"/>
  <c r="K5" i="3" s="1"/>
  <c r="M7" i="19"/>
  <c r="L5" i="3" s="1"/>
  <c r="N7" i="19"/>
  <c r="M5" i="3" s="1"/>
  <c r="B5" i="3"/>
  <c r="C5" i="3"/>
  <c r="D5" i="3"/>
  <c r="E5" i="3"/>
  <c r="AT8" i="19"/>
  <c r="AE9" i="19"/>
  <c r="AF9" i="19"/>
  <c r="AE10" i="19"/>
  <c r="AF10" i="19"/>
  <c r="AE11" i="19"/>
  <c r="AF11" i="19"/>
  <c r="AF7" i="19"/>
  <c r="AE7" i="19"/>
  <c r="AG7" i="19" s="1"/>
  <c r="AT7" i="19" s="1"/>
  <c r="AG12" i="19"/>
  <c r="AT12" i="19" s="1"/>
  <c r="AG8" i="19"/>
  <c r="AD6" i="19"/>
  <c r="AC6" i="19"/>
  <c r="AB6" i="19"/>
  <c r="AA6" i="19"/>
  <c r="Z6" i="19"/>
  <c r="Y6" i="19"/>
  <c r="X6" i="19"/>
  <c r="W6" i="19"/>
  <c r="V6" i="19"/>
  <c r="U6" i="19"/>
  <c r="K28" i="19"/>
  <c r="K27" i="19"/>
  <c r="K26" i="19"/>
  <c r="K25" i="19"/>
  <c r="K24" i="19"/>
  <c r="K23" i="19"/>
  <c r="L21" i="19"/>
  <c r="L23" i="19"/>
  <c r="K22" i="19"/>
  <c r="K21" i="19"/>
  <c r="AG42" i="19" l="1"/>
  <c r="AT42" i="19" s="1"/>
  <c r="N42" i="19" s="1"/>
  <c r="M14" i="3" s="1"/>
  <c r="AG11" i="19"/>
  <c r="AT11" i="19" s="1"/>
  <c r="AP7" i="19"/>
  <c r="AQ7" i="19"/>
  <c r="AO7" i="19"/>
  <c r="AR7" i="19"/>
  <c r="AS7" i="19"/>
  <c r="AG10" i="19"/>
  <c r="AT10" i="19" s="1"/>
  <c r="AG44" i="19"/>
  <c r="AT44" i="19" s="1"/>
  <c r="AN44" i="19" s="1"/>
  <c r="I44" i="19" s="1"/>
  <c r="H16" i="3" s="1"/>
  <c r="AK40" i="19"/>
  <c r="AL40" i="19"/>
  <c r="AM40" i="19"/>
  <c r="H40" i="19" s="1"/>
  <c r="G12" i="3" s="1"/>
  <c r="AN40" i="19"/>
  <c r="I40" i="19" s="1"/>
  <c r="H12" i="3" s="1"/>
  <c r="AO40" i="19"/>
  <c r="J40" i="19" s="1"/>
  <c r="I12" i="3" s="1"/>
  <c r="L40" i="19"/>
  <c r="K12" i="3" s="1"/>
  <c r="M40" i="19"/>
  <c r="L12" i="3" s="1"/>
  <c r="N40" i="19"/>
  <c r="M12" i="3" s="1"/>
  <c r="AH40" i="19"/>
  <c r="AI40" i="19"/>
  <c r="AJ40" i="19"/>
  <c r="AJ44" i="19"/>
  <c r="E44" i="19" s="1"/>
  <c r="D16" i="3" s="1"/>
  <c r="AK44" i="19"/>
  <c r="F44" i="19" s="1"/>
  <c r="E16" i="3" s="1"/>
  <c r="AL44" i="19"/>
  <c r="G44" i="19" s="1"/>
  <c r="F16" i="3" s="1"/>
  <c r="AM44" i="19"/>
  <c r="H44" i="19" s="1"/>
  <c r="G16" i="3" s="1"/>
  <c r="K44" i="19"/>
  <c r="J16" i="3" s="1"/>
  <c r="L44" i="19"/>
  <c r="K16" i="3" s="1"/>
  <c r="AI44" i="19"/>
  <c r="D44" i="19" s="1"/>
  <c r="C16" i="3" s="1"/>
  <c r="AJ43" i="19"/>
  <c r="E43" i="19" s="1"/>
  <c r="D15" i="3" s="1"/>
  <c r="AK43" i="19"/>
  <c r="F43" i="19" s="1"/>
  <c r="E15" i="3" s="1"/>
  <c r="AL43" i="19"/>
  <c r="G43" i="19" s="1"/>
  <c r="F15" i="3" s="1"/>
  <c r="AM43" i="19"/>
  <c r="H43" i="19" s="1"/>
  <c r="G15" i="3" s="1"/>
  <c r="AN43" i="19"/>
  <c r="I43" i="19" s="1"/>
  <c r="H15" i="3" s="1"/>
  <c r="AO43" i="19"/>
  <c r="J43" i="19" s="1"/>
  <c r="I15" i="3" s="1"/>
  <c r="K43" i="19"/>
  <c r="J15" i="3" s="1"/>
  <c r="L43" i="19"/>
  <c r="K15" i="3" s="1"/>
  <c r="M43" i="19"/>
  <c r="L15" i="3" s="1"/>
  <c r="N43" i="19"/>
  <c r="M15" i="3" s="1"/>
  <c r="AH43" i="19"/>
  <c r="C43" i="19" s="1"/>
  <c r="B15" i="3" s="1"/>
  <c r="AI43" i="19"/>
  <c r="D43" i="19" s="1"/>
  <c r="C15" i="3" s="1"/>
  <c r="AI45" i="19"/>
  <c r="D45" i="19" s="1"/>
  <c r="C17" i="3" s="1"/>
  <c r="AJ45" i="19"/>
  <c r="E45" i="19" s="1"/>
  <c r="D17" i="3" s="1"/>
  <c r="AK45" i="19"/>
  <c r="F45" i="19" s="1"/>
  <c r="E17" i="3" s="1"/>
  <c r="AL45" i="19"/>
  <c r="G45" i="19" s="1"/>
  <c r="F17" i="3" s="1"/>
  <c r="AM45" i="19"/>
  <c r="H45" i="19" s="1"/>
  <c r="G17" i="3" s="1"/>
  <c r="AN45" i="19"/>
  <c r="I45" i="19" s="1"/>
  <c r="H17" i="3" s="1"/>
  <c r="AO45" i="19"/>
  <c r="J45" i="19" s="1"/>
  <c r="I17" i="3" s="1"/>
  <c r="K45" i="19"/>
  <c r="J17" i="3" s="1"/>
  <c r="L45" i="19"/>
  <c r="K17" i="3" s="1"/>
  <c r="M45" i="19"/>
  <c r="L17" i="3" s="1"/>
  <c r="N45" i="19"/>
  <c r="M17" i="3" s="1"/>
  <c r="AF39" i="19"/>
  <c r="AI42" i="19"/>
  <c r="D42" i="19" s="1"/>
  <c r="C14" i="3" s="1"/>
  <c r="AI41" i="19"/>
  <c r="D41" i="19" s="1"/>
  <c r="C13" i="3" s="1"/>
  <c r="AH42" i="19"/>
  <c r="C42" i="19" s="1"/>
  <c r="B14" i="3" s="1"/>
  <c r="AH41" i="19"/>
  <c r="C41" i="19" s="1"/>
  <c r="N41" i="19"/>
  <c r="M13" i="3" s="1"/>
  <c r="AE39" i="19"/>
  <c r="L42" i="19"/>
  <c r="K14" i="3" s="1"/>
  <c r="L41" i="19"/>
  <c r="K13" i="3" s="1"/>
  <c r="K41" i="19"/>
  <c r="J13" i="3" s="1"/>
  <c r="AO41" i="19"/>
  <c r="AN42" i="19"/>
  <c r="I42" i="19" s="1"/>
  <c r="H14" i="3" s="1"/>
  <c r="AN41" i="19"/>
  <c r="AM42" i="19"/>
  <c r="H42" i="19" s="1"/>
  <c r="G14" i="3" s="1"/>
  <c r="AM41" i="19"/>
  <c r="AL41" i="19"/>
  <c r="G41" i="19" s="1"/>
  <c r="F13" i="3" s="1"/>
  <c r="AK41" i="19"/>
  <c r="F41" i="19" s="1"/>
  <c r="E13" i="3" s="1"/>
  <c r="I11" i="21"/>
  <c r="H11" i="21"/>
  <c r="G11" i="21"/>
  <c r="AD6" i="21"/>
  <c r="AE6" i="21" s="1"/>
  <c r="F11" i="21"/>
  <c r="E11" i="21"/>
  <c r="M15" i="21"/>
  <c r="M19" i="21" s="1"/>
  <c r="M5" i="21" s="1"/>
  <c r="L21" i="3" s="1"/>
  <c r="L15" i="21"/>
  <c r="K15" i="21"/>
  <c r="K19" i="21" s="1"/>
  <c r="K5" i="21" s="1"/>
  <c r="J21" i="3" s="1"/>
  <c r="J15" i="21"/>
  <c r="I15" i="21"/>
  <c r="N17" i="21"/>
  <c r="L13" i="21"/>
  <c r="M17" i="21"/>
  <c r="K13" i="21"/>
  <c r="C11" i="21"/>
  <c r="L17" i="21"/>
  <c r="J13" i="21"/>
  <c r="N11" i="21"/>
  <c r="K17" i="21"/>
  <c r="I13" i="21"/>
  <c r="L11" i="21"/>
  <c r="L19" i="21" s="1"/>
  <c r="L5" i="21" s="1"/>
  <c r="K21" i="3" s="1"/>
  <c r="J17" i="21"/>
  <c r="H13" i="21"/>
  <c r="K11" i="21"/>
  <c r="I17" i="21"/>
  <c r="J11" i="21"/>
  <c r="G17" i="21"/>
  <c r="H15" i="21"/>
  <c r="G13" i="21"/>
  <c r="AE5" i="21"/>
  <c r="H17" i="21"/>
  <c r="G15" i="21"/>
  <c r="F13" i="21"/>
  <c r="F15" i="21"/>
  <c r="E13" i="21"/>
  <c r="D11" i="21"/>
  <c r="F17" i="21"/>
  <c r="E15" i="21"/>
  <c r="D13" i="21"/>
  <c r="C13" i="21"/>
  <c r="E17" i="21"/>
  <c r="D15" i="21"/>
  <c r="O19" i="21"/>
  <c r="O5" i="21" s="1"/>
  <c r="C15" i="21"/>
  <c r="D17" i="21"/>
  <c r="N13" i="21"/>
  <c r="AG46" i="19"/>
  <c r="AT46" i="19" s="1"/>
  <c r="AF6" i="19"/>
  <c r="AE6" i="19"/>
  <c r="AH7" i="19"/>
  <c r="AN7" i="19"/>
  <c r="I6" i="19" s="1"/>
  <c r="H4" i="3" s="1"/>
  <c r="N6" i="19"/>
  <c r="M4" i="3" s="1"/>
  <c r="AM7" i="19"/>
  <c r="J6" i="19"/>
  <c r="I4" i="3" s="1"/>
  <c r="M6" i="19"/>
  <c r="L4" i="3" s="1"/>
  <c r="AI7" i="19"/>
  <c r="AL7" i="19"/>
  <c r="K6" i="19"/>
  <c r="J4" i="3" s="1"/>
  <c r="L6" i="19"/>
  <c r="K4" i="3" s="1"/>
  <c r="AJ7" i="19"/>
  <c r="AK7" i="19"/>
  <c r="AL11" i="19"/>
  <c r="G10" i="19" s="1"/>
  <c r="F8" i="3" s="1"/>
  <c r="AK11" i="19"/>
  <c r="F10" i="19" s="1"/>
  <c r="E8" i="3" s="1"/>
  <c r="AM11" i="19"/>
  <c r="H10" i="19" s="1"/>
  <c r="G8" i="3" s="1"/>
  <c r="AN11" i="19"/>
  <c r="I10" i="19" s="1"/>
  <c r="H8" i="3" s="1"/>
  <c r="AH11" i="19"/>
  <c r="C10" i="19" s="1"/>
  <c r="B8" i="3" s="1"/>
  <c r="AI11" i="19"/>
  <c r="D10" i="19" s="1"/>
  <c r="C8" i="3" s="1"/>
  <c r="AJ11" i="19"/>
  <c r="E10" i="19" s="1"/>
  <c r="D8" i="3" s="1"/>
  <c r="AG9" i="19"/>
  <c r="AT9" i="19" s="1"/>
  <c r="L28" i="19"/>
  <c r="L27" i="19"/>
  <c r="L26" i="19"/>
  <c r="L25" i="19"/>
  <c r="L24" i="19"/>
  <c r="M23" i="19"/>
  <c r="L22" i="19"/>
  <c r="M21" i="19" s="1"/>
  <c r="O16" i="19"/>
  <c r="O15" i="19"/>
  <c r="O14" i="19"/>
  <c r="O13" i="19"/>
  <c r="O12" i="19"/>
  <c r="N11" i="19"/>
  <c r="M9" i="3" s="1"/>
  <c r="M11" i="19"/>
  <c r="L9" i="3" s="1"/>
  <c r="L11" i="19"/>
  <c r="K9" i="3" s="1"/>
  <c r="K11" i="19"/>
  <c r="J9" i="3" s="1"/>
  <c r="J11" i="19"/>
  <c r="I9" i="3" s="1"/>
  <c r="I11" i="19"/>
  <c r="H9" i="3" s="1"/>
  <c r="H11" i="19"/>
  <c r="G9" i="3" s="1"/>
  <c r="G11" i="19"/>
  <c r="F9" i="3" s="1"/>
  <c r="F11" i="19"/>
  <c r="E9" i="3" s="1"/>
  <c r="E11" i="19"/>
  <c r="D9" i="3" s="1"/>
  <c r="D11" i="19"/>
  <c r="C9" i="3" s="1"/>
  <c r="C11" i="19"/>
  <c r="O7" i="19"/>
  <c r="D13" i="16"/>
  <c r="B66" i="3" s="1"/>
  <c r="O13" i="16"/>
  <c r="M66" i="3" s="1"/>
  <c r="N13" i="16"/>
  <c r="L66" i="3" s="1"/>
  <c r="M13" i="16"/>
  <c r="K66" i="3" s="1"/>
  <c r="L11" i="16"/>
  <c r="K13" i="16"/>
  <c r="I66" i="3" s="1"/>
  <c r="J12" i="16"/>
  <c r="H57" i="3" s="1"/>
  <c r="I12" i="16"/>
  <c r="G57" i="3" s="1"/>
  <c r="H11" i="16"/>
  <c r="G11" i="16"/>
  <c r="F12" i="16"/>
  <c r="D57" i="3" s="1"/>
  <c r="E11" i="16"/>
  <c r="O5" i="16" l="1"/>
  <c r="S43" i="10"/>
  <c r="J5" i="16"/>
  <c r="N43" i="10"/>
  <c r="H5" i="16"/>
  <c r="L43" i="10"/>
  <c r="L5" i="16"/>
  <c r="P43" i="10"/>
  <c r="E5" i="16"/>
  <c r="I43" i="10"/>
  <c r="F5" i="16"/>
  <c r="J43" i="10"/>
  <c r="I5" i="16"/>
  <c r="M43" i="10"/>
  <c r="M5" i="16"/>
  <c r="Q43" i="10"/>
  <c r="G5" i="16"/>
  <c r="K43" i="10"/>
  <c r="F20" i="23"/>
  <c r="K5" i="16"/>
  <c r="O43" i="10"/>
  <c r="N5" i="16"/>
  <c r="R43" i="10"/>
  <c r="O45" i="19"/>
  <c r="AH44" i="19"/>
  <c r="C44" i="19" s="1"/>
  <c r="B16" i="3" s="1"/>
  <c r="AP10" i="19"/>
  <c r="K9" i="19" s="1"/>
  <c r="J7" i="3" s="1"/>
  <c r="AH10" i="19"/>
  <c r="C9" i="19" s="1"/>
  <c r="B7" i="3" s="1"/>
  <c r="AQ10" i="19"/>
  <c r="L9" i="19" s="1"/>
  <c r="K7" i="3" s="1"/>
  <c r="AM10" i="19"/>
  <c r="H9" i="19" s="1"/>
  <c r="G7" i="3" s="1"/>
  <c r="AR10" i="19"/>
  <c r="M9" i="19" s="1"/>
  <c r="L7" i="3" s="1"/>
  <c r="AS10" i="19"/>
  <c r="N9" i="19" s="1"/>
  <c r="M7" i="3" s="1"/>
  <c r="AO10" i="19"/>
  <c r="J9" i="19" s="1"/>
  <c r="I7" i="3" s="1"/>
  <c r="AN10" i="19"/>
  <c r="I9" i="19" s="1"/>
  <c r="H7" i="3" s="1"/>
  <c r="AI10" i="19"/>
  <c r="D9" i="19" s="1"/>
  <c r="C7" i="3" s="1"/>
  <c r="AJ10" i="19"/>
  <c r="E9" i="19" s="1"/>
  <c r="D7" i="3" s="1"/>
  <c r="AK10" i="19"/>
  <c r="F9" i="19" s="1"/>
  <c r="E7" i="3" s="1"/>
  <c r="AL10" i="19"/>
  <c r="G9" i="19" s="1"/>
  <c r="F7" i="3" s="1"/>
  <c r="N44" i="19"/>
  <c r="M16" i="3" s="1"/>
  <c r="M44" i="19"/>
  <c r="L16" i="3" s="1"/>
  <c r="AK42" i="19"/>
  <c r="F42" i="19" s="1"/>
  <c r="E14" i="3" s="1"/>
  <c r="AT13" i="19"/>
  <c r="AR9" i="19"/>
  <c r="AS9" i="19"/>
  <c r="AQ9" i="19"/>
  <c r="AO9" i="19"/>
  <c r="AP9" i="19"/>
  <c r="AL42" i="19"/>
  <c r="G42" i="19" s="1"/>
  <c r="F14" i="3" s="1"/>
  <c r="AO44" i="19"/>
  <c r="J44" i="19" s="1"/>
  <c r="I16" i="3" s="1"/>
  <c r="M42" i="19"/>
  <c r="L14" i="3" s="1"/>
  <c r="AP11" i="19"/>
  <c r="K10" i="19" s="1"/>
  <c r="J8" i="3" s="1"/>
  <c r="AR11" i="19"/>
  <c r="M10" i="19" s="1"/>
  <c r="L8" i="3" s="1"/>
  <c r="AS11" i="19"/>
  <c r="N10" i="19" s="1"/>
  <c r="M8" i="3" s="1"/>
  <c r="AO11" i="19"/>
  <c r="J10" i="19" s="1"/>
  <c r="I8" i="3" s="1"/>
  <c r="AQ11" i="19"/>
  <c r="L10" i="19" s="1"/>
  <c r="K8" i="3" s="1"/>
  <c r="AJ42" i="19"/>
  <c r="E42" i="19" s="1"/>
  <c r="D14" i="3" s="1"/>
  <c r="AO42" i="19"/>
  <c r="J42" i="19" s="1"/>
  <c r="I14" i="3" s="1"/>
  <c r="K42" i="19"/>
  <c r="J14" i="3" s="1"/>
  <c r="B9" i="3"/>
  <c r="O11" i="19"/>
  <c r="E40" i="19"/>
  <c r="D40" i="19"/>
  <c r="C12" i="3" s="1"/>
  <c r="C40" i="19"/>
  <c r="M41" i="19"/>
  <c r="K40" i="19"/>
  <c r="H41" i="19"/>
  <c r="O44" i="19"/>
  <c r="O43" i="19"/>
  <c r="B13" i="3"/>
  <c r="AJ46" i="19"/>
  <c r="E46" i="19" s="1"/>
  <c r="D18" i="3" s="1"/>
  <c r="AK46" i="19"/>
  <c r="F46" i="19" s="1"/>
  <c r="E18" i="3" s="1"/>
  <c r="AL46" i="19"/>
  <c r="G46" i="19" s="1"/>
  <c r="F18" i="3" s="1"/>
  <c r="AM46" i="19"/>
  <c r="H46" i="19" s="1"/>
  <c r="G18" i="3" s="1"/>
  <c r="AN46" i="19"/>
  <c r="I46" i="19" s="1"/>
  <c r="H18" i="3" s="1"/>
  <c r="AO46" i="19"/>
  <c r="J46" i="19" s="1"/>
  <c r="I18" i="3" s="1"/>
  <c r="K46" i="19"/>
  <c r="J18" i="3" s="1"/>
  <c r="L46" i="19"/>
  <c r="K18" i="3" s="1"/>
  <c r="M46" i="19"/>
  <c r="L18" i="3" s="1"/>
  <c r="N46" i="19"/>
  <c r="AH46" i="19"/>
  <c r="C46" i="19" s="1"/>
  <c r="AI46" i="19"/>
  <c r="D46" i="19" s="1"/>
  <c r="C18" i="3" s="1"/>
  <c r="G40" i="19"/>
  <c r="AL39" i="19"/>
  <c r="AN39" i="19"/>
  <c r="I41" i="19"/>
  <c r="J41" i="19"/>
  <c r="D39" i="19"/>
  <c r="F40" i="19"/>
  <c r="E19" i="21"/>
  <c r="E5" i="21" s="1"/>
  <c r="D21" i="3" s="1"/>
  <c r="I19" i="21"/>
  <c r="I5" i="21" s="1"/>
  <c r="H21" i="3" s="1"/>
  <c r="J19" i="21"/>
  <c r="J5" i="21" s="1"/>
  <c r="I21" i="3" s="1"/>
  <c r="C19" i="21"/>
  <c r="C5" i="21" s="1"/>
  <c r="B21" i="3" s="1"/>
  <c r="F19" i="21"/>
  <c r="F5" i="21" s="1"/>
  <c r="E21" i="3" s="1"/>
  <c r="N19" i="21"/>
  <c r="N5" i="21" s="1"/>
  <c r="M21" i="3" s="1"/>
  <c r="G19" i="21"/>
  <c r="G5" i="21" s="1"/>
  <c r="F21" i="3" s="1"/>
  <c r="H19" i="21"/>
  <c r="H5" i="21" s="1"/>
  <c r="G21" i="3" s="1"/>
  <c r="D19" i="21"/>
  <c r="D5" i="21" s="1"/>
  <c r="C21" i="3" s="1"/>
  <c r="AG13" i="19"/>
  <c r="AU13" i="19" s="1"/>
  <c r="D6" i="19"/>
  <c r="E6" i="19"/>
  <c r="H6" i="19"/>
  <c r="G6" i="19"/>
  <c r="AK6" i="19"/>
  <c r="F6" i="19"/>
  <c r="O10" i="19"/>
  <c r="AI9" i="19"/>
  <c r="D8" i="19" s="1"/>
  <c r="C6" i="3" s="1"/>
  <c r="AJ9" i="19"/>
  <c r="E8" i="19" s="1"/>
  <c r="D6" i="3" s="1"/>
  <c r="AK9" i="19"/>
  <c r="F8" i="19" s="1"/>
  <c r="E6" i="3" s="1"/>
  <c r="AH9" i="19"/>
  <c r="C8" i="19" s="1"/>
  <c r="AL9" i="19"/>
  <c r="G8" i="19" s="1"/>
  <c r="F6" i="3" s="1"/>
  <c r="AM9" i="19"/>
  <c r="H8" i="19" s="1"/>
  <c r="G6" i="3" s="1"/>
  <c r="AN9" i="19"/>
  <c r="J8" i="19"/>
  <c r="C6" i="19"/>
  <c r="M24" i="19"/>
  <c r="D14" i="16"/>
  <c r="E13" i="16"/>
  <c r="C66" i="3" s="1"/>
  <c r="F13" i="16"/>
  <c r="D66" i="3" s="1"/>
  <c r="G12" i="16"/>
  <c r="E57" i="3" s="1"/>
  <c r="H13" i="16"/>
  <c r="F66" i="3" s="1"/>
  <c r="I11" i="16"/>
  <c r="J11" i="16"/>
  <c r="L13" i="16"/>
  <c r="J66" i="3" s="1"/>
  <c r="E12" i="16"/>
  <c r="C57" i="3" s="1"/>
  <c r="F11" i="16"/>
  <c r="G13" i="16"/>
  <c r="E66" i="3" s="1"/>
  <c r="H12" i="16"/>
  <c r="F57" i="3" s="1"/>
  <c r="I13" i="16"/>
  <c r="G66" i="3" s="1"/>
  <c r="J13" i="16"/>
  <c r="H66" i="3" s="1"/>
  <c r="K11" i="16"/>
  <c r="L12" i="16"/>
  <c r="J57" i="3" s="1"/>
  <c r="M11" i="16"/>
  <c r="M12" i="16"/>
  <c r="K57" i="3" s="1"/>
  <c r="K12" i="16"/>
  <c r="I57" i="3" s="1"/>
  <c r="N11" i="16"/>
  <c r="N12" i="16"/>
  <c r="L57" i="3" s="1"/>
  <c r="O11" i="16"/>
  <c r="O12" i="16"/>
  <c r="M57" i="3" s="1"/>
  <c r="P20" i="23" l="1"/>
  <c r="F18" i="23"/>
  <c r="D68" i="3" s="1"/>
  <c r="F17" i="23"/>
  <c r="O41" i="19"/>
  <c r="AO39" i="19"/>
  <c r="AP39" i="19"/>
  <c r="AR39" i="19"/>
  <c r="O9" i="19"/>
  <c r="AH6" i="19"/>
  <c r="E39" i="19"/>
  <c r="O42" i="19"/>
  <c r="L13" i="3"/>
  <c r="M39" i="19"/>
  <c r="B12" i="3"/>
  <c r="C39" i="19"/>
  <c r="AK39" i="19"/>
  <c r="B18" i="3"/>
  <c r="O46" i="19"/>
  <c r="AH39" i="19"/>
  <c r="M18" i="3"/>
  <c r="N39" i="19"/>
  <c r="F12" i="3"/>
  <c r="G39" i="19"/>
  <c r="AI39" i="19"/>
  <c r="E12" i="3"/>
  <c r="F39" i="19"/>
  <c r="L39" i="19"/>
  <c r="I13" i="3"/>
  <c r="J39" i="19"/>
  <c r="G13" i="3"/>
  <c r="H39" i="19"/>
  <c r="O40" i="19"/>
  <c r="D12" i="3"/>
  <c r="AS39" i="19"/>
  <c r="AM39" i="19"/>
  <c r="AJ39" i="19"/>
  <c r="AO6" i="19"/>
  <c r="H13" i="3"/>
  <c r="I39" i="19"/>
  <c r="J12" i="3"/>
  <c r="K39" i="19"/>
  <c r="AQ39" i="19"/>
  <c r="P11" i="16"/>
  <c r="P13" i="16"/>
  <c r="P12" i="16"/>
  <c r="H14" i="16"/>
  <c r="AI6" i="19"/>
  <c r="AL6" i="19"/>
  <c r="E4" i="3"/>
  <c r="F5" i="19"/>
  <c r="G4" i="3"/>
  <c r="H5" i="19"/>
  <c r="L8" i="19"/>
  <c r="AQ6" i="19"/>
  <c r="I6" i="3"/>
  <c r="J5" i="19"/>
  <c r="B6" i="3"/>
  <c r="AM6" i="19"/>
  <c r="K8" i="19"/>
  <c r="AP6" i="19"/>
  <c r="D4" i="3"/>
  <c r="E5" i="19"/>
  <c r="M8" i="19"/>
  <c r="AR6" i="19"/>
  <c r="F4" i="3"/>
  <c r="G5" i="19"/>
  <c r="AJ6" i="19"/>
  <c r="I8" i="19"/>
  <c r="AN6" i="19"/>
  <c r="C4" i="3"/>
  <c r="D5" i="19"/>
  <c r="B4" i="3"/>
  <c r="O6" i="19"/>
  <c r="C5" i="19"/>
  <c r="N8" i="19"/>
  <c r="AS6" i="19"/>
  <c r="N14" i="16"/>
  <c r="E14" i="16"/>
  <c r="J14" i="16"/>
  <c r="L14" i="16"/>
  <c r="I14" i="16"/>
  <c r="G14" i="16"/>
  <c r="M14" i="16"/>
  <c r="K14" i="16"/>
  <c r="O14" i="16"/>
  <c r="F14" i="16"/>
  <c r="O39" i="19" l="1"/>
  <c r="D59" i="3"/>
  <c r="F15" i="23"/>
  <c r="P15" i="23" s="1"/>
  <c r="P17" i="23"/>
  <c r="P18" i="23"/>
  <c r="O8" i="19"/>
  <c r="P14" i="16"/>
  <c r="K6" i="3"/>
  <c r="L5" i="19"/>
  <c r="M6" i="3"/>
  <c r="N5" i="19"/>
  <c r="L6" i="3"/>
  <c r="M5" i="19"/>
  <c r="H6" i="3"/>
  <c r="I5" i="19"/>
  <c r="J6" i="3"/>
  <c r="K5" i="19"/>
  <c r="O5" i="19" l="1"/>
  <c r="F5" i="7"/>
  <c r="C88" i="3" s="1"/>
  <c r="G5" i="7"/>
  <c r="D88" i="3" s="1"/>
  <c r="H5" i="7"/>
  <c r="E88" i="3" s="1"/>
  <c r="I5" i="7"/>
  <c r="F88" i="3" s="1"/>
  <c r="J5" i="7"/>
  <c r="G88" i="3" s="1"/>
  <c r="K5" i="7"/>
  <c r="H88" i="3" s="1"/>
  <c r="L5" i="7"/>
  <c r="I88" i="3" s="1"/>
  <c r="M5" i="7"/>
  <c r="J88" i="3" s="1"/>
  <c r="N5" i="7"/>
  <c r="K88" i="3" s="1"/>
  <c r="O5" i="7"/>
  <c r="L88" i="3" s="1"/>
  <c r="P5" i="7"/>
  <c r="M88" i="3" s="1"/>
  <c r="E5" i="7"/>
  <c r="B88" i="3" s="1"/>
  <c r="Q4" i="7"/>
  <c r="Q5" i="7" l="1"/>
  <c r="B200" i="3"/>
  <c r="R200" i="3" s="1"/>
  <c r="R201" i="3" s="1"/>
  <c r="B192" i="3"/>
  <c r="Q65" i="29"/>
  <c r="P65" i="29"/>
  <c r="O65" i="29"/>
  <c r="N65" i="29"/>
  <c r="M65" i="29"/>
  <c r="L65" i="29"/>
  <c r="K65" i="29"/>
  <c r="J65" i="29"/>
  <c r="I65" i="29"/>
  <c r="H65" i="29"/>
  <c r="G65" i="29"/>
  <c r="B184" i="3"/>
  <c r="F65" i="29" s="1"/>
  <c r="J64" i="29"/>
  <c r="I64" i="29"/>
  <c r="H64" i="29"/>
  <c r="G64" i="29"/>
  <c r="B180" i="3"/>
  <c r="F64" i="29" s="1"/>
  <c r="Q64" i="29"/>
  <c r="P64" i="29"/>
  <c r="O64" i="29"/>
  <c r="N64" i="29"/>
  <c r="M64" i="29"/>
  <c r="L64" i="29"/>
  <c r="K64" i="29"/>
  <c r="Q63" i="29"/>
  <c r="P63" i="29"/>
  <c r="O63" i="29"/>
  <c r="N63" i="29"/>
  <c r="L63" i="29"/>
  <c r="K63" i="29"/>
  <c r="J63" i="29"/>
  <c r="I63" i="29"/>
  <c r="H63" i="29"/>
  <c r="G63" i="29"/>
  <c r="B176" i="3"/>
  <c r="F63" i="29" s="1"/>
  <c r="M63" i="29"/>
  <c r="Q62" i="29"/>
  <c r="O62" i="29"/>
  <c r="N62" i="29"/>
  <c r="M62" i="29"/>
  <c r="L62" i="29"/>
  <c r="K62" i="29"/>
  <c r="J62" i="29"/>
  <c r="I62" i="29"/>
  <c r="H62" i="29"/>
  <c r="G62" i="29"/>
  <c r="P61" i="29"/>
  <c r="O61" i="29"/>
  <c r="N61" i="29"/>
  <c r="M61" i="29"/>
  <c r="L61" i="29"/>
  <c r="K61" i="29"/>
  <c r="J61" i="29"/>
  <c r="H61" i="29"/>
  <c r="G61" i="29"/>
  <c r="B161" i="3"/>
  <c r="F61" i="29" s="1"/>
  <c r="M157" i="3"/>
  <c r="Q60" i="29" s="1"/>
  <c r="L157" i="3"/>
  <c r="P60" i="29" s="1"/>
  <c r="K157" i="3"/>
  <c r="O60" i="29" s="1"/>
  <c r="J157" i="3"/>
  <c r="N60" i="29" s="1"/>
  <c r="I157" i="3"/>
  <c r="M60" i="29" s="1"/>
  <c r="H157" i="3"/>
  <c r="L60" i="29" s="1"/>
  <c r="G157" i="3"/>
  <c r="K60" i="29" s="1"/>
  <c r="F157" i="3"/>
  <c r="J60" i="29" s="1"/>
  <c r="E157" i="3"/>
  <c r="I60" i="29" s="1"/>
  <c r="D157" i="3"/>
  <c r="H60" i="29" s="1"/>
  <c r="C157" i="3"/>
  <c r="G60" i="29" s="1"/>
  <c r="B157" i="3"/>
  <c r="K59" i="29"/>
  <c r="P59" i="29"/>
  <c r="O59" i="29"/>
  <c r="M59" i="29"/>
  <c r="L59" i="29"/>
  <c r="J59" i="29"/>
  <c r="I59" i="29"/>
  <c r="G59" i="29"/>
  <c r="B150" i="3"/>
  <c r="F59" i="29" s="1"/>
  <c r="Q58" i="29"/>
  <c r="P58" i="29"/>
  <c r="O58" i="29"/>
  <c r="N58" i="29"/>
  <c r="M58" i="29"/>
  <c r="L58" i="29"/>
  <c r="K58" i="29"/>
  <c r="J58" i="29"/>
  <c r="I58" i="29"/>
  <c r="H58" i="29"/>
  <c r="G58" i="29"/>
  <c r="F58" i="29"/>
  <c r="M132" i="3"/>
  <c r="Q57" i="29" s="1"/>
  <c r="L132" i="3"/>
  <c r="P57" i="29" s="1"/>
  <c r="K132" i="3"/>
  <c r="O57" i="29" s="1"/>
  <c r="J132" i="3"/>
  <c r="N57" i="29" s="1"/>
  <c r="I132" i="3"/>
  <c r="M57" i="29" s="1"/>
  <c r="G132" i="3"/>
  <c r="K57" i="29" s="1"/>
  <c r="F132" i="3"/>
  <c r="J57" i="29" s="1"/>
  <c r="E132" i="3"/>
  <c r="I57" i="29" s="1"/>
  <c r="D132" i="3"/>
  <c r="H57" i="29" s="1"/>
  <c r="C132" i="3"/>
  <c r="G57" i="29" s="1"/>
  <c r="B132" i="3"/>
  <c r="F57" i="29" s="1"/>
  <c r="Q56" i="29"/>
  <c r="P56" i="29"/>
  <c r="O56" i="29"/>
  <c r="N56" i="29"/>
  <c r="M56" i="29"/>
  <c r="K56" i="29"/>
  <c r="J56" i="29"/>
  <c r="I56" i="29"/>
  <c r="H56" i="29"/>
  <c r="B123" i="3"/>
  <c r="F56" i="29" s="1"/>
  <c r="P55" i="29"/>
  <c r="O55" i="29"/>
  <c r="M55" i="29"/>
  <c r="L55" i="29"/>
  <c r="K55" i="29"/>
  <c r="H55" i="29"/>
  <c r="J55" i="29"/>
  <c r="I55" i="29"/>
  <c r="G55" i="29"/>
  <c r="F55" i="29"/>
  <c r="Q54" i="29"/>
  <c r="O54" i="29"/>
  <c r="N54" i="29"/>
  <c r="M54" i="29"/>
  <c r="L54" i="29"/>
  <c r="K54" i="29"/>
  <c r="J54" i="29"/>
  <c r="I54" i="29"/>
  <c r="H54" i="29"/>
  <c r="G54" i="29"/>
  <c r="B111" i="3"/>
  <c r="F54" i="29" s="1"/>
  <c r="P54" i="29"/>
  <c r="Q53" i="29"/>
  <c r="P53" i="29"/>
  <c r="O53" i="29"/>
  <c r="N53" i="29"/>
  <c r="M53" i="29"/>
  <c r="L53" i="29"/>
  <c r="K53" i="29"/>
  <c r="J53" i="29"/>
  <c r="I53" i="29"/>
  <c r="H53" i="29"/>
  <c r="G53" i="29"/>
  <c r="B106" i="3"/>
  <c r="F53" i="29" s="1"/>
  <c r="P52" i="29"/>
  <c r="N52" i="29"/>
  <c r="M52" i="29"/>
  <c r="L52" i="29"/>
  <c r="J52" i="29"/>
  <c r="I52" i="29"/>
  <c r="H52" i="29"/>
  <c r="G52" i="29"/>
  <c r="B102" i="3"/>
  <c r="F52" i="29" s="1"/>
  <c r="Q52" i="29"/>
  <c r="O52" i="29"/>
  <c r="K52" i="29"/>
  <c r="P51" i="29"/>
  <c r="O51" i="29"/>
  <c r="N51" i="29"/>
  <c r="K51" i="29"/>
  <c r="I51" i="29"/>
  <c r="G51" i="29"/>
  <c r="B93" i="3"/>
  <c r="M87" i="3"/>
  <c r="Q50" i="29" s="1"/>
  <c r="L87" i="3"/>
  <c r="P50" i="29" s="1"/>
  <c r="K87" i="3"/>
  <c r="O50" i="29" s="1"/>
  <c r="J87" i="3"/>
  <c r="N50" i="29" s="1"/>
  <c r="I87" i="3"/>
  <c r="M50" i="29" s="1"/>
  <c r="H87" i="3"/>
  <c r="L50" i="29" s="1"/>
  <c r="G87" i="3"/>
  <c r="K50" i="29" s="1"/>
  <c r="F87" i="3"/>
  <c r="J50" i="29" s="1"/>
  <c r="E87" i="3"/>
  <c r="I50" i="29" s="1"/>
  <c r="D87" i="3"/>
  <c r="H50" i="29" s="1"/>
  <c r="C87" i="3"/>
  <c r="G50" i="29" s="1"/>
  <c r="B87" i="3"/>
  <c r="F50" i="29" s="1"/>
  <c r="M82" i="3"/>
  <c r="Q49" i="29" s="1"/>
  <c r="L82" i="3"/>
  <c r="P49" i="29" s="1"/>
  <c r="K82" i="3"/>
  <c r="O49" i="29" s="1"/>
  <c r="J82" i="3"/>
  <c r="N49" i="29" s="1"/>
  <c r="I82" i="3"/>
  <c r="M49" i="29" s="1"/>
  <c r="H82" i="3"/>
  <c r="L49" i="29" s="1"/>
  <c r="G82" i="3"/>
  <c r="K49" i="29" s="1"/>
  <c r="F82" i="3"/>
  <c r="J49" i="29" s="1"/>
  <c r="E82" i="3"/>
  <c r="I49" i="29" s="1"/>
  <c r="D82" i="3"/>
  <c r="H49" i="29" s="1"/>
  <c r="C82" i="3"/>
  <c r="G49" i="29" s="1"/>
  <c r="B82" i="3"/>
  <c r="F49" i="29" s="1"/>
  <c r="M77" i="3"/>
  <c r="Q48" i="29" s="1"/>
  <c r="L77" i="3"/>
  <c r="P48" i="29" s="1"/>
  <c r="K77" i="3"/>
  <c r="O48" i="29" s="1"/>
  <c r="J77" i="3"/>
  <c r="N48" i="29" s="1"/>
  <c r="I77" i="3"/>
  <c r="M48" i="29" s="1"/>
  <c r="H77" i="3"/>
  <c r="L48" i="29" s="1"/>
  <c r="G77" i="3"/>
  <c r="K48" i="29" s="1"/>
  <c r="F77" i="3"/>
  <c r="J48" i="29" s="1"/>
  <c r="E77" i="3"/>
  <c r="I48" i="29" s="1"/>
  <c r="D77" i="3"/>
  <c r="H48" i="29" s="1"/>
  <c r="C77" i="3"/>
  <c r="G48" i="29" s="1"/>
  <c r="B77" i="3"/>
  <c r="F48" i="29" s="1"/>
  <c r="M72" i="3"/>
  <c r="Q47" i="29" s="1"/>
  <c r="L72" i="3"/>
  <c r="P47" i="29" s="1"/>
  <c r="K72" i="3"/>
  <c r="O47" i="29" s="1"/>
  <c r="J72" i="3"/>
  <c r="N47" i="29" s="1"/>
  <c r="I72" i="3"/>
  <c r="M47" i="29" s="1"/>
  <c r="H72" i="3"/>
  <c r="L47" i="29" s="1"/>
  <c r="G72" i="3"/>
  <c r="K47" i="29" s="1"/>
  <c r="F72" i="3"/>
  <c r="J47" i="29" s="1"/>
  <c r="E72" i="3"/>
  <c r="I47" i="29" s="1"/>
  <c r="D72" i="3"/>
  <c r="H47" i="29" s="1"/>
  <c r="C72" i="3"/>
  <c r="G47" i="29" s="1"/>
  <c r="B72" i="3"/>
  <c r="F47" i="29" s="1"/>
  <c r="M62" i="3"/>
  <c r="Q46" i="29" s="1"/>
  <c r="L62" i="3"/>
  <c r="P46" i="29" s="1"/>
  <c r="K62" i="3"/>
  <c r="O46" i="29" s="1"/>
  <c r="J62" i="3"/>
  <c r="N46" i="29" s="1"/>
  <c r="H62" i="3"/>
  <c r="L46" i="29" s="1"/>
  <c r="G62" i="3"/>
  <c r="K46" i="29" s="1"/>
  <c r="F62" i="3"/>
  <c r="J46" i="29" s="1"/>
  <c r="E62" i="3"/>
  <c r="I46" i="29" s="1"/>
  <c r="C62" i="3"/>
  <c r="G46" i="29" s="1"/>
  <c r="B62" i="3"/>
  <c r="F46" i="29" s="1"/>
  <c r="M53" i="3"/>
  <c r="Q45" i="29" s="1"/>
  <c r="L53" i="3"/>
  <c r="P45" i="29" s="1"/>
  <c r="K53" i="3"/>
  <c r="O45" i="29" s="1"/>
  <c r="J53" i="3"/>
  <c r="N45" i="29" s="1"/>
  <c r="I53" i="3"/>
  <c r="M45" i="29" s="1"/>
  <c r="H53" i="3"/>
  <c r="L45" i="29" s="1"/>
  <c r="G53" i="3"/>
  <c r="K45" i="29" s="1"/>
  <c r="F53" i="3"/>
  <c r="J45" i="29" s="1"/>
  <c r="E53" i="3"/>
  <c r="I45" i="29" s="1"/>
  <c r="D53" i="3"/>
  <c r="H45" i="29" s="1"/>
  <c r="C53" i="3"/>
  <c r="B53" i="3"/>
  <c r="F45" i="29" s="1"/>
  <c r="M45" i="3"/>
  <c r="Q44" i="29" s="1"/>
  <c r="L45" i="3"/>
  <c r="P44" i="29" s="1"/>
  <c r="K45" i="3"/>
  <c r="O44" i="29" s="1"/>
  <c r="J45" i="3"/>
  <c r="N44" i="29" s="1"/>
  <c r="G45" i="3"/>
  <c r="K44" i="29" s="1"/>
  <c r="F45" i="3"/>
  <c r="J44" i="29" s="1"/>
  <c r="E45" i="3"/>
  <c r="I44" i="29" s="1"/>
  <c r="D45" i="3"/>
  <c r="H44" i="29" s="1"/>
  <c r="C45" i="3"/>
  <c r="G44" i="29" s="1"/>
  <c r="B45" i="3"/>
  <c r="F44" i="29" s="1"/>
  <c r="M35" i="3"/>
  <c r="Q41" i="29" s="1"/>
  <c r="L35" i="3"/>
  <c r="P41" i="29" s="1"/>
  <c r="K35" i="3"/>
  <c r="O41" i="29" s="1"/>
  <c r="J35" i="3"/>
  <c r="N41" i="29" s="1"/>
  <c r="I35" i="3"/>
  <c r="M41" i="29" s="1"/>
  <c r="H35" i="3"/>
  <c r="L41" i="29" s="1"/>
  <c r="G35" i="3"/>
  <c r="K41" i="29" s="1"/>
  <c r="F35" i="3"/>
  <c r="J41" i="29" s="1"/>
  <c r="E35" i="3"/>
  <c r="I41" i="29" s="1"/>
  <c r="D35" i="3"/>
  <c r="H41" i="29" s="1"/>
  <c r="B35" i="3"/>
  <c r="F41" i="29" s="1"/>
  <c r="M32" i="3"/>
  <c r="Q40" i="29" s="1"/>
  <c r="L32" i="3"/>
  <c r="P40" i="29" s="1"/>
  <c r="K32" i="3"/>
  <c r="O40" i="29" s="1"/>
  <c r="J32" i="3"/>
  <c r="N40" i="29" s="1"/>
  <c r="I32" i="3"/>
  <c r="M40" i="29" s="1"/>
  <c r="F32" i="3"/>
  <c r="J40" i="29" s="1"/>
  <c r="E32" i="3"/>
  <c r="I40" i="29" s="1"/>
  <c r="C32" i="3"/>
  <c r="G40" i="29" s="1"/>
  <c r="B32" i="3"/>
  <c r="F40" i="29" s="1"/>
  <c r="H32" i="3"/>
  <c r="L40" i="29" s="1"/>
  <c r="G32" i="3"/>
  <c r="K40" i="29" s="1"/>
  <c r="D32" i="3"/>
  <c r="H40" i="29" s="1"/>
  <c r="Q39" i="29"/>
  <c r="P39" i="29"/>
  <c r="O39" i="29"/>
  <c r="N39" i="29"/>
  <c r="M39" i="29"/>
  <c r="L39" i="29"/>
  <c r="K39" i="29"/>
  <c r="J39" i="29"/>
  <c r="I39" i="29"/>
  <c r="H39" i="29"/>
  <c r="G39" i="29"/>
  <c r="F39" i="29"/>
  <c r="M23" i="3"/>
  <c r="L23" i="3"/>
  <c r="K23" i="3"/>
  <c r="J23" i="3"/>
  <c r="I23" i="3"/>
  <c r="H23" i="3"/>
  <c r="G23" i="3"/>
  <c r="F23" i="3"/>
  <c r="E23" i="3"/>
  <c r="D23" i="3"/>
  <c r="C23" i="3"/>
  <c r="B23" i="3"/>
  <c r="M20" i="3"/>
  <c r="Q37" i="29" s="1"/>
  <c r="K20" i="3"/>
  <c r="O37" i="29" s="1"/>
  <c r="J20" i="3"/>
  <c r="N37" i="29" s="1"/>
  <c r="I20" i="3"/>
  <c r="M37" i="29" s="1"/>
  <c r="F20" i="3"/>
  <c r="J37" i="29" s="1"/>
  <c r="E20" i="3"/>
  <c r="I37" i="29" s="1"/>
  <c r="L20" i="3"/>
  <c r="P37" i="29" s="1"/>
  <c r="H20" i="3"/>
  <c r="L37" i="29" s="1"/>
  <c r="G20" i="3"/>
  <c r="K37" i="29" s="1"/>
  <c r="D20" i="3"/>
  <c r="H37" i="29" s="1"/>
  <c r="C20" i="3"/>
  <c r="G37" i="29" s="1"/>
  <c r="B20" i="3"/>
  <c r="F37" i="29" s="1"/>
  <c r="M11" i="3"/>
  <c r="Q36" i="29" s="1"/>
  <c r="L11" i="3"/>
  <c r="P36" i="29" s="1"/>
  <c r="K11" i="3"/>
  <c r="O36" i="29" s="1"/>
  <c r="J11" i="3"/>
  <c r="N36" i="29" s="1"/>
  <c r="I11" i="3"/>
  <c r="M36" i="29" s="1"/>
  <c r="H11" i="3"/>
  <c r="L36" i="29" s="1"/>
  <c r="G11" i="3"/>
  <c r="K36" i="29" s="1"/>
  <c r="F11" i="3"/>
  <c r="J36" i="29" s="1"/>
  <c r="E11" i="3"/>
  <c r="I36" i="29" s="1"/>
  <c r="D11" i="3"/>
  <c r="H36" i="29" s="1"/>
  <c r="C11" i="3"/>
  <c r="G36" i="29" s="1"/>
  <c r="B11" i="3"/>
  <c r="F36" i="29" s="1"/>
  <c r="M3" i="3"/>
  <c r="Q35" i="29" s="1"/>
  <c r="K3" i="3"/>
  <c r="O35" i="29" s="1"/>
  <c r="J3" i="3"/>
  <c r="N35" i="29" s="1"/>
  <c r="I3" i="3"/>
  <c r="M35" i="29" s="1"/>
  <c r="F3" i="3"/>
  <c r="J35" i="29" s="1"/>
  <c r="E3" i="3"/>
  <c r="I35" i="29" s="1"/>
  <c r="D3" i="3"/>
  <c r="H35" i="29" s="1"/>
  <c r="B3" i="3"/>
  <c r="F35" i="29" s="1"/>
  <c r="L3" i="3"/>
  <c r="P35" i="29" s="1"/>
  <c r="H3" i="3"/>
  <c r="L35" i="29" s="1"/>
  <c r="G3" i="3"/>
  <c r="K35" i="29" s="1"/>
  <c r="C3" i="3"/>
  <c r="G35" i="29" s="1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F51" i="29" l="1"/>
  <c r="R93" i="3"/>
  <c r="R94" i="3" s="1"/>
  <c r="G45" i="29"/>
  <c r="R53" i="3"/>
  <c r="R54" i="3" s="1"/>
  <c r="F60" i="29"/>
  <c r="D60" i="29" s="1"/>
  <c r="R157" i="3"/>
  <c r="R158" i="3" s="1"/>
  <c r="D63" i="29"/>
  <c r="D54" i="29"/>
  <c r="F34" i="29"/>
  <c r="I34" i="29"/>
  <c r="H34" i="29"/>
  <c r="O34" i="29"/>
  <c r="D52" i="29"/>
  <c r="D47" i="29"/>
  <c r="D48" i="29"/>
  <c r="D49" i="29"/>
  <c r="D50" i="29"/>
  <c r="Q34" i="29"/>
  <c r="D36" i="29"/>
  <c r="D37" i="29"/>
  <c r="D39" i="29"/>
  <c r="N34" i="29"/>
  <c r="K34" i="29"/>
  <c r="M34" i="29"/>
  <c r="L34" i="29"/>
  <c r="D58" i="29"/>
  <c r="P34" i="29"/>
  <c r="D40" i="29"/>
  <c r="D57" i="29"/>
  <c r="D35" i="29"/>
  <c r="J34" i="29"/>
  <c r="D53" i="29"/>
  <c r="D65" i="29"/>
  <c r="D45" i="29"/>
  <c r="D64" i="29"/>
  <c r="B170" i="3"/>
  <c r="F62" i="29" s="1"/>
  <c r="G56" i="29"/>
  <c r="H51" i="29"/>
  <c r="P62" i="29"/>
  <c r="L51" i="29"/>
  <c r="C35" i="3"/>
  <c r="G41" i="29" s="1"/>
  <c r="G34" i="29" s="1"/>
  <c r="Q61" i="29"/>
  <c r="J51" i="29"/>
  <c r="H132" i="3"/>
  <c r="L57" i="29" s="1"/>
  <c r="H45" i="3"/>
  <c r="L44" i="29" s="1"/>
  <c r="I61" i="29"/>
  <c r="M51" i="29"/>
  <c r="N55" i="29"/>
  <c r="L56" i="29"/>
  <c r="I45" i="3"/>
  <c r="M44" i="29" s="1"/>
  <c r="Q55" i="29"/>
  <c r="I62" i="3"/>
  <c r="M46" i="29" s="1"/>
  <c r="D62" i="3"/>
  <c r="H46" i="29" s="1"/>
  <c r="N59" i="29"/>
  <c r="H59" i="29"/>
  <c r="Q59" i="29"/>
  <c r="S48" i="16"/>
  <c r="P48" i="16"/>
  <c r="M48" i="16"/>
  <c r="N48" i="16"/>
  <c r="Q48" i="16"/>
  <c r="O48" i="16"/>
  <c r="D62" i="29" l="1"/>
  <c r="D55" i="29"/>
  <c r="D59" i="29"/>
  <c r="D34" i="29"/>
  <c r="D61" i="29"/>
  <c r="D44" i="29"/>
  <c r="D56" i="29"/>
  <c r="D41" i="29"/>
  <c r="J43" i="29"/>
  <c r="J69" i="29" s="1"/>
  <c r="D51" i="29"/>
  <c r="D46" i="29"/>
  <c r="I43" i="29"/>
  <c r="Q43" i="29"/>
  <c r="O43" i="29"/>
  <c r="O70" i="29" s="1"/>
  <c r="O71" i="29" s="1"/>
  <c r="G43" i="29"/>
  <c r="K43" i="29"/>
  <c r="K70" i="29" s="1"/>
  <c r="L43" i="29"/>
  <c r="L70" i="29" s="1"/>
  <c r="M43" i="29"/>
  <c r="P43" i="29"/>
  <c r="P70" i="29" s="1"/>
  <c r="N43" i="29"/>
  <c r="H43" i="29"/>
  <c r="O69" i="29" l="1"/>
  <c r="Q70" i="29"/>
  <c r="Q98" i="29" s="1"/>
  <c r="Q99" i="29" s="1"/>
  <c r="Q69" i="29"/>
  <c r="I69" i="29"/>
  <c r="I70" i="29"/>
  <c r="I71" i="29" s="1"/>
  <c r="H69" i="29"/>
  <c r="H70" i="29"/>
  <c r="H71" i="29" s="1"/>
  <c r="N69" i="29"/>
  <c r="N70" i="29"/>
  <c r="N98" i="29" s="1"/>
  <c r="N99" i="29" s="1"/>
  <c r="G70" i="29"/>
  <c r="G71" i="29" s="1"/>
  <c r="G69" i="29"/>
  <c r="D66" i="29"/>
  <c r="K69" i="29"/>
  <c r="P69" i="29"/>
  <c r="F43" i="29"/>
  <c r="J70" i="29"/>
  <c r="J71" i="29" s="1"/>
  <c r="L69" i="29"/>
  <c r="O98" i="29"/>
  <c r="O99" i="29" s="1"/>
  <c r="K98" i="29"/>
  <c r="K99" i="29" s="1"/>
  <c r="K71" i="29"/>
  <c r="M69" i="29"/>
  <c r="M70" i="29"/>
  <c r="P98" i="29"/>
  <c r="P99" i="29" s="1"/>
  <c r="P71" i="29"/>
  <c r="L98" i="29"/>
  <c r="L71" i="29"/>
  <c r="Q71" i="29" l="1"/>
  <c r="D43" i="29"/>
  <c r="F69" i="29"/>
  <c r="F70" i="29"/>
  <c r="F71" i="29" s="1"/>
  <c r="J98" i="29"/>
  <c r="J99" i="29" s="1"/>
  <c r="H98" i="29"/>
  <c r="H99" i="29" s="1"/>
  <c r="I98" i="29"/>
  <c r="I99" i="29" s="1"/>
  <c r="N71" i="29"/>
  <c r="G98" i="29"/>
  <c r="G99" i="29" s="1"/>
  <c r="M71" i="29"/>
  <c r="M98" i="29"/>
  <c r="M99" i="29" s="1"/>
  <c r="L99" i="29"/>
  <c r="F98" i="29" l="1"/>
  <c r="F99" i="29" s="1"/>
  <c r="D70" i="29"/>
  <c r="D71" i="29" s="1"/>
  <c r="D98" i="29" l="1"/>
  <c r="D99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tc={2D2752FB-D7FD-459B-BE77-48CDA9D81359}</author>
    <author>tc={CCB5E5FD-9538-4E1A-A1CC-46E6F2197510}</author>
    <author>tc={53B74A3F-AE37-4D35-A00A-9CF2AEDD0771}</author>
    <author>tc={C4EF290C-A14D-4ECA-A094-DB2EBA3E6DE0}</author>
    <author>tc={A9609B08-C9D5-49D1-8C4D-D18CC26C3F73}</author>
    <author>tc={748E81E7-E6B1-47D4-9064-1CC7D543F596}</author>
    <author>tc={9E8C27E0-EEEB-4575-8A79-50213754684F}</author>
  </authors>
  <commentList>
    <comment ref="F5" authorId="0" shapeId="0" xr:uid="{2D2752FB-D7FD-459B-BE77-48CDA9D8135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RWD/AWD 본격양산 `26년 2월~</t>
      </text>
    </comment>
    <comment ref="L5" authorId="1" shapeId="0" xr:uid="{CCB5E5FD-9538-4E1A-A1CC-46E6F219751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물량저조 원인 : 포드오토산 Shut Down 반영</t>
      </text>
    </comment>
    <comment ref="O5" authorId="2" shapeId="0" xr:uid="{53B74A3F-AE37-4D35-A00A-9CF2AEDD077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RWD/AWD 10월 물량반영, EV-V4 10월 양산물량 반영</t>
      </text>
    </comment>
    <comment ref="P19" authorId="3" shapeId="0" xr:uid="{C4EF290C-A14D-4ECA-A094-DB2EBA3E6DE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EV-V4 본격 양산진행</t>
      </text>
    </comment>
    <comment ref="J71" authorId="4" shapeId="0" xr:uid="{A9609B08-C9D5-49D1-8C4D-D18CC26C3F7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정기 신뢰성평가 500,000TL</t>
      </text>
    </comment>
    <comment ref="L71" authorId="5" shapeId="0" xr:uid="{748E81E7-E6B1-47D4-9064-1CC7D543F59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포드 오토산 Shut Down 2주 반영</t>
      </text>
    </comment>
    <comment ref="Q71" authorId="6" shapeId="0" xr:uid="{9E8C27E0-EEEB-4575-8A79-50213754684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KSC-KCTR 기술지원비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Özge Ersöz</author>
    <author xml:space="preserve">김창연 </author>
  </authors>
  <commentList>
    <comment ref="B128" authorId="0" shapeId="0" xr:uid="{29E39F63-4888-439D-B585-DCDE06888C90}">
      <text>
        <r>
          <rPr>
            <b/>
            <sz val="9"/>
            <color indexed="81"/>
            <rFont val="Tahoma"/>
            <family val="2"/>
            <charset val="162"/>
          </rPr>
          <t>Özge Ersöz:</t>
        </r>
        <r>
          <rPr>
            <sz val="9"/>
            <color indexed="81"/>
            <rFont val="Tahoma"/>
            <family val="2"/>
            <charset val="162"/>
          </rPr>
          <t xml:space="preserve">
Common Rental Car Oil Expenses
</t>
        </r>
      </text>
    </comment>
    <comment ref="A159" authorId="1" shapeId="0" xr:uid="{5DDB206C-1FE7-49FC-87C8-14333D735C40}">
      <text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</text>
    </comment>
    <comment ref="A163" authorId="1" shapeId="0" xr:uid="{154A6616-D4E2-43F1-8137-0AA057E293B1}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사업계획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tc={52BA8591-CC6D-4700-95A0-0B9D6223BE91}</author>
    <author>tc={3F9FD198-15FA-4BEB-8C46-8DD5F73C2902}</author>
  </authors>
  <commentList>
    <comment ref="H75" authorId="0" shapeId="0" xr:uid="{52BA8591-CC6D-4700-95A0-0B9D6223BE9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AWD에만 사용</t>
      </text>
    </comment>
    <comment ref="H76" authorId="1" shapeId="0" xr:uid="{3F9FD198-15FA-4BEB-8C46-8DD5F73C290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AWD에만 사용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Öznur KOCAMAN</author>
  </authors>
  <commentList>
    <comment ref="E36" authorId="0" shapeId="0" xr:uid="{28F2F9C0-C1F9-40F9-B913-0F3310196F69}">
      <text>
        <r>
          <rPr>
            <b/>
            <sz val="9"/>
            <color indexed="81"/>
            <rFont val="Tahoma"/>
            <family val="2"/>
            <charset val="162"/>
          </rPr>
          <t>MoQ = 1</t>
        </r>
      </text>
    </comment>
  </commentList>
</comments>
</file>

<file path=xl/sharedStrings.xml><?xml version="1.0" encoding="utf-8"?>
<sst xmlns="http://schemas.openxmlformats.org/spreadsheetml/2006/main" count="5430" uniqueCount="1538">
  <si>
    <t>'2026년 사업계획 기준 환율</t>
    <phoneticPr fontId="3" type="noConversion"/>
  </si>
  <si>
    <t>구 분</t>
    <phoneticPr fontId="3" type="noConversion"/>
  </si>
  <si>
    <t>'26 사업계획</t>
    <phoneticPr fontId="3" type="noConversion"/>
  </si>
  <si>
    <t>비 고</t>
    <phoneticPr fontId="3" type="noConversion"/>
  </si>
  <si>
    <t>확정</t>
    <phoneticPr fontId="3" type="noConversion"/>
  </si>
  <si>
    <t>26.09.15</t>
    <phoneticPr fontId="3" type="noConversion"/>
  </si>
  <si>
    <t>주요
통화</t>
    <phoneticPr fontId="3" type="noConversion"/>
  </si>
  <si>
    <t>KRW/USD</t>
    <phoneticPr fontId="3" type="noConversion"/>
  </si>
  <si>
    <t>홀딩스
배포</t>
    <phoneticPr fontId="3" type="noConversion"/>
  </si>
  <si>
    <t>KRW/CNY</t>
    <phoneticPr fontId="3" type="noConversion"/>
  </si>
  <si>
    <t>KRW/EUR</t>
    <phoneticPr fontId="3" type="noConversion"/>
  </si>
  <si>
    <t>MXN/USD</t>
    <phoneticPr fontId="3" type="noConversion"/>
  </si>
  <si>
    <t>CNY/USD</t>
    <phoneticPr fontId="3" type="noConversion"/>
  </si>
  <si>
    <t>세르비아</t>
    <phoneticPr fontId="3" type="noConversion"/>
  </si>
  <si>
    <t>KRW/RSD</t>
    <phoneticPr fontId="3" type="noConversion"/>
  </si>
  <si>
    <t>KSC
배포</t>
    <phoneticPr fontId="3" type="noConversion"/>
  </si>
  <si>
    <t>RSD/EUR</t>
    <phoneticPr fontId="3" type="noConversion"/>
  </si>
  <si>
    <t>RSD/USD</t>
    <phoneticPr fontId="3" type="noConversion"/>
  </si>
  <si>
    <t>터키</t>
    <phoneticPr fontId="3" type="noConversion"/>
  </si>
  <si>
    <t>KRW/TRY</t>
    <phoneticPr fontId="3" type="noConversion"/>
  </si>
  <si>
    <t>TRY/USD</t>
    <phoneticPr fontId="3" type="noConversion"/>
  </si>
  <si>
    <t>TRY/EUR</t>
    <phoneticPr fontId="3" type="noConversion"/>
  </si>
  <si>
    <t>폴란드</t>
    <phoneticPr fontId="3" type="noConversion"/>
  </si>
  <si>
    <t>KRW/PLN</t>
    <phoneticPr fontId="3" type="noConversion"/>
  </si>
  <si>
    <t>PLN/EUR</t>
    <phoneticPr fontId="3" type="noConversion"/>
  </si>
  <si>
    <t>PLN/USD</t>
    <phoneticPr fontId="3" type="noConversion"/>
  </si>
  <si>
    <t>※ 동가 : 13,826[원/kg] / 9,900[$/Ton] - 6/1부 현대차 인정 동가 기준</t>
    <phoneticPr fontId="3" type="noConversion"/>
  </si>
  <si>
    <t>Ⅳ.판매관리비  _ SELLING AND MARKETING EXPENSES</t>
    <phoneticPr fontId="10" type="noConversion"/>
  </si>
  <si>
    <t>Export Expenses</t>
  </si>
  <si>
    <t>Shipping Expenses</t>
  </si>
  <si>
    <t>Export Charges</t>
  </si>
  <si>
    <t>Warehouse Charges</t>
  </si>
  <si>
    <t>Transport labour</t>
  </si>
  <si>
    <t>Other Export Expenses</t>
  </si>
  <si>
    <t>Other Tax</t>
  </si>
  <si>
    <t>Import Expenses</t>
  </si>
  <si>
    <t>Custom Tax</t>
  </si>
  <si>
    <t>Domestic Transportation Expenses</t>
  </si>
  <si>
    <t>Transportation Expenses</t>
  </si>
  <si>
    <t>Sales Return costs</t>
  </si>
  <si>
    <t>Return Material Transportation Expenses</t>
  </si>
  <si>
    <t>Other Expenses</t>
  </si>
  <si>
    <t>Product Sample Expenses</t>
  </si>
  <si>
    <t>Domestic Sample Expenses</t>
  </si>
  <si>
    <t>Export Sample Expenses</t>
  </si>
  <si>
    <t>Rental Expenses</t>
  </si>
  <si>
    <t>Box Rental Expenses</t>
  </si>
  <si>
    <t>Packaging-Label Expenses</t>
  </si>
  <si>
    <t>Returnable Box Purchasing Expenses</t>
  </si>
  <si>
    <t>Annual DV/PV Test</t>
    <phoneticPr fontId="10" type="noConversion"/>
  </si>
  <si>
    <t>Ⅳ.판매관리비  _ GENERAL ADMINISTRATION EXPENSES</t>
    <phoneticPr fontId="10" type="noConversion"/>
  </si>
  <si>
    <t>Personnel Expenses</t>
  </si>
  <si>
    <t>GROSS SALARIES</t>
  </si>
  <si>
    <t>SSI EMPLOYER PREMIUM SHARE</t>
  </si>
  <si>
    <t>EMPLOYER UNEMPLOYMENT PREMIUM SHARE</t>
  </si>
  <si>
    <t>Staff Lunch Expenses</t>
  </si>
  <si>
    <t>Other</t>
  </si>
  <si>
    <t>Insurance</t>
  </si>
  <si>
    <t>GROSS SALARIES &amp; Bonus</t>
  </si>
  <si>
    <t xml:space="preserve">Transportation </t>
  </si>
  <si>
    <t>Other &amp; Holiday Gift</t>
  </si>
  <si>
    <t>Manufacturing Personel Expenses</t>
  </si>
  <si>
    <t>Executive Rental Expenses</t>
  </si>
  <si>
    <t>Company Management Car Rental Expenses</t>
  </si>
  <si>
    <t>Office Machine Rental Expenses</t>
  </si>
  <si>
    <t>Other Rental Expenses</t>
  </si>
  <si>
    <t>Personnel Car Rental Expenses</t>
  </si>
  <si>
    <t>Manufacturing Personnel Department Rental Expenses</t>
  </si>
  <si>
    <t>Personnel Car Rental Expense</t>
  </si>
  <si>
    <t>Office Machine Rental Expense</t>
  </si>
  <si>
    <t>Office Rental Expenses</t>
  </si>
  <si>
    <t>Guest Vehicle Expenses</t>
  </si>
  <si>
    <t>Guesthouse Rental Expenses</t>
  </si>
  <si>
    <t>Travel  Expenses</t>
  </si>
  <si>
    <t>Travel Expenses (Domestic)</t>
  </si>
  <si>
    <t>Travel Expenses:Domestic General</t>
  </si>
  <si>
    <t>Travel Expenses:Domestic Room Charge</t>
  </si>
  <si>
    <t>Travel Expenses:Local Transportation</t>
  </si>
  <si>
    <t>Travel Expenses (Overseas)</t>
  </si>
  <si>
    <t>Travel Expenses:Overseas General</t>
  </si>
  <si>
    <t>Travel Expenses:Overseas Room Charge</t>
  </si>
  <si>
    <t>Entertainment Expenses</t>
  </si>
  <si>
    <t>Domestic Entertainment Expenses</t>
  </si>
  <si>
    <t>Overseas Entertainment Expenses</t>
  </si>
  <si>
    <t>Insurance Expenses</t>
  </si>
  <si>
    <t>Fire Insurance</t>
  </si>
  <si>
    <t>Automobile Insurance</t>
  </si>
  <si>
    <t>Other Insurance</t>
  </si>
  <si>
    <t>Outsourse Benefits&amp;Services</t>
  </si>
  <si>
    <t>Electricity / Water / Gas Expenses</t>
  </si>
  <si>
    <t>Other Miscellaneous Expenses</t>
  </si>
  <si>
    <t>Office Supplies</t>
  </si>
  <si>
    <t>Office Expenses ( stationary)</t>
  </si>
  <si>
    <t>Building Maintenance</t>
  </si>
  <si>
    <t>Fixtures Writed As Direct Expenses</t>
  </si>
  <si>
    <t>Executive Vehicle Expenses</t>
  </si>
  <si>
    <t>Repair Company Car Expenses</t>
  </si>
  <si>
    <t>Repair Rental[Lease] Car Expenses</t>
  </si>
  <si>
    <t>Company Car Oil Expenses</t>
  </si>
  <si>
    <t>Rental[Lease] Car Oil Expenses</t>
  </si>
  <si>
    <t>자동차 유류대_조현민/이수형  (1회 주유 2,000TL x 2회/주 x 4주)</t>
    <phoneticPr fontId="10" type="noConversion"/>
  </si>
  <si>
    <t>Toll &amp; Parking Expenses</t>
  </si>
  <si>
    <t>Private Car Expenses</t>
  </si>
  <si>
    <t>Manufacturing Personnel Vehicle Expenses</t>
  </si>
  <si>
    <t>Other Taxes</t>
  </si>
  <si>
    <t>Membership Fee</t>
  </si>
  <si>
    <t>Stamp Duty</t>
  </si>
  <si>
    <t>Penalty</t>
  </si>
  <si>
    <t>Notary Expenses</t>
  </si>
  <si>
    <t xml:space="preserve">Commissions </t>
    <phoneticPr fontId="10" type="noConversion"/>
  </si>
  <si>
    <t>Bank Charge</t>
  </si>
  <si>
    <t>Service Expenses</t>
  </si>
  <si>
    <t>Outsourcing</t>
    <phoneticPr fontId="10" type="noConversion"/>
  </si>
  <si>
    <t>IT / SERVER Support</t>
  </si>
  <si>
    <t>Legal Advice Service</t>
  </si>
  <si>
    <t>Tax Accounting &amp; Audit</t>
  </si>
  <si>
    <t>Occupational Health and Safety Expenses</t>
  </si>
  <si>
    <t>Communication Expenses</t>
  </si>
  <si>
    <t>Internet  Expenses</t>
  </si>
  <si>
    <t>Repairing Expenses</t>
  </si>
  <si>
    <t>Fixtures and Equipments</t>
  </si>
  <si>
    <t>Training Expenses</t>
  </si>
  <si>
    <t>Outside The Company Trainings</t>
  </si>
  <si>
    <t xml:space="preserve"> Workshop</t>
  </si>
  <si>
    <t>Miscellaneous Expenses</t>
  </si>
  <si>
    <t>Donation</t>
  </si>
  <si>
    <t>Advertisement</t>
  </si>
  <si>
    <t>Depreciation and Amortization Expenses</t>
    <phoneticPr fontId="10" type="noConversion"/>
  </si>
  <si>
    <t>Financial Expenses</t>
  </si>
  <si>
    <t>Interest expenses</t>
  </si>
  <si>
    <t>Exchange rate difference expenses</t>
  </si>
  <si>
    <t>Commission expenses</t>
  </si>
  <si>
    <t>Foreign Financing Expenses</t>
  </si>
  <si>
    <t>Ⅴ.영업이익  _ .OPERATING INCOME (or LOSS)</t>
    <phoneticPr fontId="10" type="noConversion"/>
  </si>
  <si>
    <t xml:space="preserve">Ⅵ. NON-OPERATING INCOME </t>
  </si>
  <si>
    <t>Interest Income</t>
  </si>
  <si>
    <t>Commission Income</t>
  </si>
  <si>
    <t>Non-Relevant Provisions</t>
  </si>
  <si>
    <t>Exchange Profits</t>
  </si>
  <si>
    <t>Foreign Currency Transactions Profit</t>
    <phoneticPr fontId="10" type="noConversion"/>
  </si>
  <si>
    <t xml:space="preserve"> Foreign Currency Translation of Profit</t>
    <phoneticPr fontId="10" type="noConversion"/>
  </si>
  <si>
    <t>Translation of Foreign Currency Profit</t>
    <phoneticPr fontId="10" type="noConversion"/>
  </si>
  <si>
    <t>Rediscount Interest Income</t>
  </si>
  <si>
    <t>Other Ordinary Income and Profits</t>
  </si>
  <si>
    <t>OTHER EXTRAORDINARY INCOME AND PROFITS</t>
    <phoneticPr fontId="10" type="noConversion"/>
  </si>
  <si>
    <t>Ⅶ. 영업외비용  _ NON-OPERATING EXPENSES</t>
    <phoneticPr fontId="10" type="noConversion"/>
  </si>
  <si>
    <t>Ⅶ. NON-OPERATING EXPENSES</t>
  </si>
  <si>
    <t>Commission Expenses(-)</t>
  </si>
  <si>
    <t>Provision Expenses(-)</t>
  </si>
  <si>
    <t>Losses on Sale of Securities(-)</t>
  </si>
  <si>
    <t>Exchange Losses(-)</t>
  </si>
  <si>
    <t>Foreign Currency Transactions Losses</t>
  </si>
  <si>
    <t xml:space="preserve"> Foreign Currency Translation of Losses</t>
  </si>
  <si>
    <t>Other Ordinary Expenses and Losses(-)</t>
  </si>
  <si>
    <t>Short-Term Borrowing Expenses(-)</t>
  </si>
  <si>
    <t>Long-Term Borrowing Expenses(-)</t>
  </si>
  <si>
    <t>OTHER EXTRAORDINARY EXPENSES AND LOSSES (-)</t>
  </si>
  <si>
    <t>2차</t>
    <phoneticPr fontId="18" type="noConversion"/>
  </si>
  <si>
    <t>단위</t>
  </si>
  <si>
    <t>USD / TRY</t>
  </si>
  <si>
    <t>차입일</t>
    <phoneticPr fontId="18" type="noConversion"/>
  </si>
  <si>
    <t>만기일</t>
    <phoneticPr fontId="18" type="noConversion"/>
  </si>
  <si>
    <t>대여금</t>
  </si>
  <si>
    <t>USD</t>
  </si>
  <si>
    <t>이자율</t>
  </si>
  <si>
    <t>이자액(년)</t>
  </si>
  <si>
    <t>이자액(월)</t>
  </si>
  <si>
    <t>TL</t>
  </si>
  <si>
    <t>1차
(연장)</t>
    <phoneticPr fontId="18" type="noConversion"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</si>
  <si>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</si>
  <si>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</si>
  <si>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</si>
  <si>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</si>
  <si>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</si>
  <si>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</si>
  <si>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</si>
  <si>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</si>
  <si>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</si>
  <si>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</si>
  <si>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</si>
  <si>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</si>
  <si>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Yearly Avarage</t>
  </si>
  <si>
    <t>1. 현 KCTR 창고 임대차 계약서</t>
    <phoneticPr fontId="18" type="noConversion"/>
  </si>
  <si>
    <t>사무실 렌트비
(Warehouse Rent)</t>
    <phoneticPr fontId="18" type="noConversion"/>
  </si>
  <si>
    <t>USD</t>
    <phoneticPr fontId="3" type="noConversion"/>
  </si>
  <si>
    <t>TL</t>
    <phoneticPr fontId="3" type="noConversion"/>
  </si>
  <si>
    <t>Total</t>
  </si>
  <si>
    <t>MAY</t>
  </si>
  <si>
    <t>Interest Expenses (-)</t>
    <phoneticPr fontId="3" type="noConversion"/>
  </si>
  <si>
    <t>No</t>
  </si>
  <si>
    <t>교육기관</t>
    <phoneticPr fontId="18" type="noConversion"/>
  </si>
  <si>
    <t>TBD</t>
    <phoneticPr fontId="18" type="noConversion"/>
  </si>
  <si>
    <t>Category</t>
  </si>
  <si>
    <t>DESCRIPTION</t>
  </si>
  <si>
    <t>REMARK</t>
  </si>
  <si>
    <t>Monthly</t>
    <phoneticPr fontId="3" type="noConversion"/>
  </si>
  <si>
    <t>Yearly</t>
    <phoneticPr fontId="3" type="noConversion"/>
  </si>
  <si>
    <t>Company Phone line</t>
  </si>
  <si>
    <t>합계</t>
    <phoneticPr fontId="18" type="noConversion"/>
  </si>
  <si>
    <t>DESCRIPTION</t>
    <phoneticPr fontId="3" type="noConversion"/>
  </si>
  <si>
    <t>Fixed monthly internet fee is paid</t>
    <phoneticPr fontId="3" type="noConversion"/>
  </si>
  <si>
    <t>There are two separate lines paid through the company</t>
    <phoneticPr fontId="3" type="noConversion"/>
  </si>
  <si>
    <t>Joe</t>
    <phoneticPr fontId="3" type="noConversion"/>
  </si>
  <si>
    <t>Lee</t>
    <phoneticPr fontId="3" type="noConversion"/>
  </si>
  <si>
    <t>Merve</t>
    <phoneticPr fontId="3" type="noConversion"/>
  </si>
  <si>
    <t>Ceren</t>
    <phoneticPr fontId="3" type="noConversion"/>
  </si>
  <si>
    <t>Office</t>
    <phoneticPr fontId="3" type="noConversion"/>
  </si>
  <si>
    <t>Total</t>
    <phoneticPr fontId="3" type="noConversion"/>
  </si>
  <si>
    <t>Remark</t>
    <phoneticPr fontId="3" type="noConversion"/>
  </si>
  <si>
    <t>24.02/06~27.02/05</t>
    <phoneticPr fontId="3" type="noConversion"/>
  </si>
  <si>
    <t>계약 기간</t>
  </si>
  <si>
    <t>Hyudai Tucson</t>
  </si>
  <si>
    <t>23.06/01~26.05/31</t>
  </si>
  <si>
    <t>Hyudai Elantra</t>
  </si>
  <si>
    <t>24.07/01~27.06/30</t>
  </si>
  <si>
    <t>▣  주재원 숙소</t>
    <phoneticPr fontId="18" type="noConversion"/>
  </si>
  <si>
    <t>조현민 책임</t>
    <phoneticPr fontId="18" type="noConversion"/>
  </si>
  <si>
    <t>이수형 선임</t>
    <phoneticPr fontId="18" type="noConversion"/>
  </si>
  <si>
    <t>`26년 5월 계약 종료</t>
    <phoneticPr fontId="3" type="noConversion"/>
  </si>
  <si>
    <t>렌트 1</t>
    <phoneticPr fontId="18" type="noConversion"/>
  </si>
  <si>
    <t>렌트 2</t>
    <phoneticPr fontId="18" type="noConversion"/>
  </si>
  <si>
    <t>렌트 3</t>
    <phoneticPr fontId="18" type="noConversion"/>
  </si>
  <si>
    <t>렌트 4</t>
    <phoneticPr fontId="18" type="noConversion"/>
  </si>
  <si>
    <t>NO</t>
    <phoneticPr fontId="36" type="noConversion"/>
  </si>
  <si>
    <t>근무일수</t>
    <phoneticPr fontId="18" type="noConversion"/>
  </si>
  <si>
    <t xml:space="preserve">Accounting-Finance Personel </t>
    <phoneticPr fontId="18" type="noConversion"/>
  </si>
  <si>
    <t>Manufacturing Personel</t>
    <phoneticPr fontId="18" type="noConversion"/>
  </si>
  <si>
    <t>총금액</t>
    <phoneticPr fontId="18" type="noConversion"/>
  </si>
  <si>
    <t>포드 오토산 2주 셧다운</t>
    <phoneticPr fontId="18" type="noConversion"/>
  </si>
  <si>
    <t>▣ Lunch Support</t>
    <phoneticPr fontId="3" type="noConversion"/>
  </si>
  <si>
    <t>총 직원수 (Employee)</t>
    <phoneticPr fontId="18" type="noConversion"/>
  </si>
  <si>
    <t>주재원</t>
    <phoneticPr fontId="18" type="noConversion"/>
  </si>
  <si>
    <t>Month</t>
    <phoneticPr fontId="18" type="noConversion"/>
  </si>
  <si>
    <t>Sept</t>
  </si>
  <si>
    <t>Total Number of employees</t>
    <phoneticPr fontId="18" type="noConversion"/>
  </si>
  <si>
    <t>New employees</t>
    <phoneticPr fontId="18" type="noConversion"/>
  </si>
  <si>
    <t>General Manager</t>
  </si>
  <si>
    <t>HM CHO</t>
  </si>
  <si>
    <t>D. General Manager</t>
    <phoneticPr fontId="18" type="noConversion"/>
  </si>
  <si>
    <t>SH LEE</t>
  </si>
  <si>
    <t>HR/General Affairs</t>
  </si>
  <si>
    <t>MERVE</t>
  </si>
  <si>
    <t>Manager</t>
  </si>
  <si>
    <t>Kübra Ceren</t>
    <phoneticPr fontId="18" type="noConversion"/>
  </si>
  <si>
    <t xml:space="preserve">Engineer </t>
    <phoneticPr fontId="18" type="noConversion"/>
  </si>
  <si>
    <t>Finance/Account</t>
  </si>
  <si>
    <t>Özge</t>
  </si>
  <si>
    <t>Supervisor</t>
  </si>
  <si>
    <t>Technician</t>
    <phoneticPr fontId="18" type="noConversion"/>
  </si>
  <si>
    <t>Sales/Procurement</t>
    <phoneticPr fontId="18" type="noConversion"/>
  </si>
  <si>
    <t>Specialist</t>
    <phoneticPr fontId="18" type="noConversion"/>
  </si>
  <si>
    <t>MP&amp;L</t>
    <phoneticPr fontId="18" type="noConversion"/>
  </si>
  <si>
    <t>OZNUR</t>
  </si>
  <si>
    <t>Murat Öze</t>
    <phoneticPr fontId="18" type="noConversion"/>
  </si>
  <si>
    <t xml:space="preserve">Tugay </t>
    <phoneticPr fontId="18" type="noConversion"/>
  </si>
  <si>
    <t>P/M</t>
    <phoneticPr fontId="18" type="noConversion"/>
  </si>
  <si>
    <t>Akin</t>
    <phoneticPr fontId="18" type="noConversion"/>
  </si>
  <si>
    <t xml:space="preserve">Specialist </t>
    <phoneticPr fontId="18" type="noConversion"/>
  </si>
  <si>
    <t xml:space="preserve"> Q.C.</t>
    <phoneticPr fontId="18" type="noConversion"/>
  </si>
  <si>
    <t>CEREN</t>
  </si>
  <si>
    <t>Korean Manager</t>
    <phoneticPr fontId="18" type="noConversion"/>
  </si>
  <si>
    <t>총인원</t>
    <phoneticPr fontId="18" type="noConversion"/>
  </si>
  <si>
    <t>Total</t>
    <phoneticPr fontId="18" type="noConversion"/>
  </si>
  <si>
    <t>26 KCTR H/R Plan</t>
    <phoneticPr fontId="18" type="noConversion"/>
  </si>
  <si>
    <t>Feb</t>
    <phoneticPr fontId="3" type="noConversion"/>
  </si>
  <si>
    <t>Description &amp; Months</t>
  </si>
  <si>
    <t>Shipping &amp;Courier Expenses</t>
  </si>
  <si>
    <t>Description &amp; Months</t>
    <phoneticPr fontId="3" type="noConversion"/>
  </si>
  <si>
    <t>Export Expenses</t>
    <phoneticPr fontId="3" type="noConversion"/>
  </si>
  <si>
    <t>Other Taxes</t>
    <phoneticPr fontId="3" type="noConversion"/>
  </si>
  <si>
    <t>Unit Service Fee</t>
  </si>
  <si>
    <t>Account Name</t>
  </si>
  <si>
    <t>Detail</t>
  </si>
  <si>
    <t>Company</t>
  </si>
  <si>
    <t>DCS Custom</t>
  </si>
  <si>
    <t>Handling Service</t>
  </si>
  <si>
    <t>Warehouse charges</t>
  </si>
  <si>
    <t>Security X-Ray</t>
  </si>
  <si>
    <t>Customs clearance service</t>
  </si>
  <si>
    <t>Declaration Service</t>
  </si>
  <si>
    <t>ATR Certificate</t>
  </si>
  <si>
    <t>Certification of the Certificate of Origin</t>
  </si>
  <si>
    <t>Increased Rate
(`24~25)</t>
    <phoneticPr fontId="3" type="noConversion"/>
  </si>
  <si>
    <t>Average Rate
(`24~25)</t>
    <phoneticPr fontId="3" type="noConversion"/>
  </si>
  <si>
    <t>2026
(Esti.)</t>
    <phoneticPr fontId="3" type="noConversion"/>
  </si>
  <si>
    <t>Average Rate
(`25~26)
Esti.</t>
    <phoneticPr fontId="3" type="noConversion"/>
  </si>
  <si>
    <t>▣ Import Expenses</t>
    <phoneticPr fontId="3" type="noConversion"/>
  </si>
  <si>
    <t>-</t>
    <phoneticPr fontId="3" type="noConversion"/>
  </si>
  <si>
    <t>Esti.</t>
    <phoneticPr fontId="3" type="noConversion"/>
  </si>
  <si>
    <t>▣ `26 KCTR Export Expenses</t>
    <phoneticPr fontId="3" type="noConversion"/>
  </si>
  <si>
    <t>▣ `26 Export Expenses monthly (Esti.)</t>
    <phoneticPr fontId="3" type="noConversion"/>
  </si>
  <si>
    <t>▣ `25 Export Expenses monthly</t>
    <phoneticPr fontId="3" type="noConversion"/>
  </si>
  <si>
    <t>▣ `25 Import Expenses monthly</t>
    <phoneticPr fontId="3" type="noConversion"/>
  </si>
  <si>
    <t>▣ `26 Import Expenses monthly (Esti.)</t>
    <phoneticPr fontId="3" type="noConversion"/>
  </si>
  <si>
    <t>Transportation</t>
  </si>
  <si>
    <t>Maf 대비 운송료</t>
  </si>
  <si>
    <t>Truck Usage</t>
  </si>
  <si>
    <t>Ford-KCTR</t>
  </si>
  <si>
    <t>KCTR</t>
  </si>
  <si>
    <t>Takosan</t>
  </si>
  <si>
    <t>Nursan</t>
  </si>
  <si>
    <t>Balkan</t>
  </si>
  <si>
    <t>Others</t>
  </si>
  <si>
    <t>▣ `25 KCTR Transportation</t>
    <phoneticPr fontId="3" type="noConversion"/>
  </si>
  <si>
    <t xml:space="preserve">    -   </t>
  </si>
  <si>
    <t>▣  상품 매출액</t>
  </si>
  <si>
    <t>1. 매출수량</t>
    <phoneticPr fontId="1" type="noConversion"/>
  </si>
  <si>
    <t>단위 : 대</t>
    <phoneticPr fontId="48" type="noConversion"/>
  </si>
  <si>
    <t>구분</t>
    <phoneticPr fontId="10" type="noConversion"/>
  </si>
  <si>
    <t>차종</t>
  </si>
  <si>
    <t>LEVEL</t>
    <phoneticPr fontId="3" type="noConversion"/>
  </si>
  <si>
    <t>아이템</t>
    <phoneticPr fontId="3" type="noConversion"/>
  </si>
  <si>
    <t>품번</t>
    <phoneticPr fontId="3" type="noConversion"/>
  </si>
  <si>
    <t>U/S</t>
    <phoneticPr fontId="10" type="noConversion"/>
  </si>
  <si>
    <t>비고</t>
    <phoneticPr fontId="3" type="noConversion"/>
  </si>
  <si>
    <t>매출 계획 (EA)</t>
    <phoneticPr fontId="10" type="noConversion"/>
  </si>
  <si>
    <t>비고</t>
    <phoneticPr fontId="51" type="noConversion"/>
  </si>
  <si>
    <t>1월</t>
    <phoneticPr fontId="51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</si>
  <si>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</si>
  <si>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</si>
  <si>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</si>
  <si>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</si>
  <si>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</si>
  <si>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</si>
  <si>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</si>
  <si>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</si>
  <si>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</si>
  <si>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</si>
  <si>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</si>
  <si>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TOTAL</t>
    <phoneticPr fontId="51" type="noConversion"/>
  </si>
  <si>
    <t>Battery</t>
  </si>
  <si>
    <t>FORD PHEV-E Ford Otosan</t>
  </si>
  <si>
    <t>●</t>
  </si>
  <si>
    <t>MAIN W/H</t>
  </si>
  <si>
    <t>PZ38-10B694-AC</t>
  </si>
  <si>
    <t>▶ 유럽 向</t>
    <phoneticPr fontId="51" type="noConversion"/>
  </si>
  <si>
    <t>Pack</t>
  </si>
  <si>
    <t>BEC to ISC Conn (JUMPER)</t>
  </si>
  <si>
    <t>PZ38-14B252-AB</t>
  </si>
  <si>
    <t xml:space="preserve">              ↑</t>
  </si>
  <si>
    <t>BUSBAR - Array to Array (short)</t>
  </si>
  <si>
    <t>PZ38-14A033-AB</t>
  </si>
  <si>
    <t>BUSBAR - Array to Array (long)</t>
  </si>
  <si>
    <t>PZ38-14A033-BB</t>
  </si>
  <si>
    <t>BUSBAR - Array 3 to 4</t>
  </si>
  <si>
    <t>PZ38-14A033-CB</t>
  </si>
  <si>
    <t>FORD PHEV-E S/Africa</t>
  </si>
  <si>
    <t>▶ 아프리카 向  * P703 Forecast 8월부터 이전 6개월 평균 계산</t>
  </si>
  <si>
    <t>MAIN WH</t>
  </si>
  <si>
    <t>* RWD 10월 단산</t>
  </si>
  <si>
    <t>PDU</t>
  </si>
  <si>
    <t>BUSBAR - Array to Array (Straight)_Insert</t>
  </si>
  <si>
    <t>PZ38-14A033-FD</t>
  </si>
  <si>
    <t>BUSBAR - Array to Array (Angled)_Insert</t>
  </si>
  <si>
    <t>BUSBAR - Array 1 to Neg BEC_Insert</t>
  </si>
  <si>
    <t>BUSBAR - Array4 to Array 5_Insert</t>
  </si>
  <si>
    <t>BUSBAR - Array 8 to Array 9_Insert</t>
  </si>
  <si>
    <t>BUSBAR - Array 9 to Pos BEC_Insert</t>
  </si>
  <si>
    <t>BUSBAR - Pos BEC to DCFC_Protector</t>
  </si>
  <si>
    <t>PZ38-14A033-MC</t>
  </si>
  <si>
    <t>BUSBAR - Neg BEC to DCFC_Protector</t>
  </si>
  <si>
    <t>BUSBAR - CIRCUIT BREAKER_A_Insert</t>
  </si>
  <si>
    <t>BUSBAR - CIRCUIT BREAKER_B_Insert</t>
  </si>
  <si>
    <t>FORD BEV-E1 AWD</t>
    <phoneticPr fontId="51" type="noConversion"/>
  </si>
  <si>
    <t>MAIN W/H AWD</t>
  </si>
  <si>
    <t>* AWD 10월 단산</t>
  </si>
  <si>
    <t>CONN ASSY (PDU)</t>
  </si>
  <si>
    <t>FORD BEV-M</t>
    <phoneticPr fontId="51" type="noConversion"/>
  </si>
  <si>
    <t>BUS BAR ASY - ARRAY 4 POS TO ARRAY 5 NEG</t>
  </si>
  <si>
    <t>S2X8-14A033-BC</t>
  </si>
  <si>
    <t>BUS BAR ASY – COMMON BUSBAR ARRAY 3-2, 2-1</t>
  </si>
  <si>
    <t>S2X8-14A033-EC</t>
  </si>
  <si>
    <t>BUS BAR ASY – POS BEC TO ARRAY 6 POS </t>
  </si>
  <si>
    <t>S2X8-14A033-AC</t>
  </si>
  <si>
    <t>BUS BAR ASY – ARRAY 4 NEG TO CIRCUIT BREAKER</t>
  </si>
  <si>
    <t>S2X8-14A033-CC</t>
  </si>
  <si>
    <t>BUS BAR ASY – CIRCUIT BREAKER TO ARRAY 3 POS</t>
  </si>
  <si>
    <t>S2X8-14A033-DC</t>
  </si>
  <si>
    <t>BUS BAR ASY – ARRAY 1 NEG TO NEG BEC</t>
  </si>
  <si>
    <t>S2X8-14A033-GC</t>
  </si>
  <si>
    <t>BUS BAR ASY – POS BEC TO DCFC POS</t>
  </si>
  <si>
    <t>S2X8-14A033-HD</t>
  </si>
  <si>
    <t>BUS BAR ASY – POS BEC TO DCFC NEG</t>
  </si>
  <si>
    <t>S2X8-14A033-JD</t>
  </si>
  <si>
    <t>FORD BEV-M PARTS</t>
  </si>
  <si>
    <t xml:space="preserve"> BEV-E1 / BEV_E_TML_1 </t>
  </si>
  <si>
    <t>BEE22-CT009</t>
  </si>
  <si>
    <t>BALKAN</t>
  </si>
  <si>
    <t>YAZAKI</t>
  </si>
  <si>
    <t xml:space="preserve"> BEV-E1 / BEV_E_TML_2 </t>
  </si>
  <si>
    <t>BEE22-CT010</t>
  </si>
  <si>
    <t xml:space="preserve"> BEV-E1 / BEV-E_TML_3 </t>
  </si>
  <si>
    <t xml:space="preserve"> BEE22-CT011 </t>
  </si>
  <si>
    <t>FORD EV-V4</t>
  </si>
  <si>
    <t>MAIN W/H (AWD)</t>
  </si>
  <si>
    <t>TZ38-10B694-C</t>
  </si>
  <si>
    <t>KSCE</t>
  </si>
  <si>
    <t>MAIN W/H (RWD)</t>
  </si>
  <si>
    <t>TZ38-10B694-B</t>
  </si>
  <si>
    <t>BUS BAR ASY_A</t>
  </si>
  <si>
    <t>TZ38-14A033-A</t>
  </si>
  <si>
    <t>BUS BAR ASY_B</t>
  </si>
  <si>
    <t>TZ38-14A033-B</t>
  </si>
  <si>
    <t>BUS BAR ASY_C</t>
  </si>
  <si>
    <t>TZ38-14A033-C</t>
  </si>
  <si>
    <t>BUS BAR ASY_D</t>
  </si>
  <si>
    <t>TZ38-14A033-D</t>
  </si>
  <si>
    <t>BUS BAR ASY_E</t>
  </si>
  <si>
    <t>TZ38-14A033-E</t>
  </si>
  <si>
    <t>BUS BAR ASY_G</t>
  </si>
  <si>
    <t>TZ38-14A033-G</t>
  </si>
  <si>
    <t>TZ38-14A033-K</t>
  </si>
  <si>
    <t>BUSBAR - Array 1 to Neg BEC_OVERMOLD</t>
  </si>
  <si>
    <t>TZ38-14A033-M</t>
  </si>
  <si>
    <t>PZ38-14A033-M</t>
  </si>
  <si>
    <t>BUSBAR-CIRCUIT BREAKER_R_OVERMOLD</t>
  </si>
  <si>
    <t>TZ38-14A033-L</t>
  </si>
  <si>
    <t>PDU ASSY</t>
  </si>
  <si>
    <t>TZ38-14B680-A</t>
  </si>
  <si>
    <t>2. 판매가(EURO 기준가)</t>
  </si>
  <si>
    <t>단위 : EURO</t>
  </si>
  <si>
    <t>구분</t>
  </si>
  <si>
    <t>LEVEL</t>
  </si>
  <si>
    <t>아이템</t>
  </si>
  <si>
    <t>품번</t>
  </si>
  <si>
    <t>U/S</t>
  </si>
  <si>
    <t>비고</t>
  </si>
  <si>
    <t>판매가(EURO)</t>
  </si>
  <si>
    <t>1월</t>
  </si>
  <si>
    <t>TOTAL</t>
  </si>
  <si>
    <t>2-1. 판매가(TRY_분기별 환율 연동 예정)</t>
  </si>
  <si>
    <t>환율(TRY/EURO)</t>
  </si>
  <si>
    <t>단위 :TRY</t>
  </si>
  <si>
    <t>판매가(TRY)</t>
  </si>
  <si>
    <t>3. 매출액</t>
  </si>
  <si>
    <t>소계</t>
  </si>
  <si>
    <t>■ 상품 매입액</t>
  </si>
  <si>
    <t>1. 매입가(EURO 기준가)</t>
  </si>
  <si>
    <t>*Nursan/Takosan TVM C/R -1% 적용</t>
    <phoneticPr fontId="48" type="noConversion"/>
  </si>
  <si>
    <t>2. 매입가(TRY_분기별 환율 연동 예정)</t>
  </si>
  <si>
    <t>단위 :TRY(환율 :  39 TRY/EURO)</t>
  </si>
  <si>
    <t>3. 매입액</t>
  </si>
  <si>
    <t>Haticenur</t>
    <phoneticPr fontId="3" type="noConversion"/>
  </si>
  <si>
    <t>Assistant Specialist</t>
    <phoneticPr fontId="3" type="noConversion"/>
  </si>
  <si>
    <t>Melis</t>
    <phoneticPr fontId="18" type="noConversion"/>
  </si>
  <si>
    <t>CH Park</t>
    <phoneticPr fontId="3" type="noConversion"/>
  </si>
  <si>
    <t>MUZAFFER(Residents Otosan)</t>
    <phoneticPr fontId="18" type="noConversion"/>
  </si>
  <si>
    <t>BAHADIR (Residents Nursan)</t>
    <phoneticPr fontId="18" type="noConversion"/>
  </si>
  <si>
    <t>GÜLSÜM</t>
    <phoneticPr fontId="3" type="noConversion"/>
  </si>
  <si>
    <t>2026년 계획</t>
    <phoneticPr fontId="18" type="noConversion"/>
  </si>
  <si>
    <r>
      <rPr>
        <sz val="8"/>
        <color theme="1"/>
        <rFont val="Segoe UI"/>
        <family val="3"/>
        <charset val="238"/>
      </rPr>
      <t>İ</t>
    </r>
    <r>
      <rPr>
        <sz val="8"/>
        <color theme="1"/>
        <rFont val="Calibri"/>
        <family val="3"/>
      </rPr>
      <t>BRAHIM (</t>
    </r>
    <r>
      <rPr>
        <sz val="8"/>
        <color theme="1"/>
        <rFont val="맑은 고딕"/>
        <family val="3"/>
        <charset val="129"/>
        <scheme val="minor"/>
      </rPr>
      <t>Residents Takosan)</t>
    </r>
    <phoneticPr fontId="18" type="noConversion"/>
  </si>
  <si>
    <t>2026년 중장기
운영
계획</t>
    <phoneticPr fontId="18" type="noConversion"/>
  </si>
  <si>
    <t>영업 (예상)</t>
    <phoneticPr fontId="18" type="noConversion"/>
  </si>
  <si>
    <t>Procurement</t>
    <phoneticPr fontId="3" type="noConversion"/>
  </si>
  <si>
    <t>Sales</t>
    <phoneticPr fontId="18" type="noConversion"/>
  </si>
  <si>
    <t>Sales</t>
    <phoneticPr fontId="3" type="noConversion"/>
  </si>
  <si>
    <t>MP&amp;L</t>
  </si>
  <si>
    <t>※ EV-V4 포장사양 협의결과에 따라 변동(KCTR 포장사양 변경시 2명 충원예정)</t>
    <phoneticPr fontId="3" type="noConversion"/>
  </si>
  <si>
    <t>‘25.12</t>
    <phoneticPr fontId="18" type="noConversion"/>
  </si>
  <si>
    <t>`26 long term ('26.12)</t>
    <phoneticPr fontId="18" type="noConversion"/>
  </si>
  <si>
    <t>Sevde</t>
    <phoneticPr fontId="3" type="noConversion"/>
  </si>
  <si>
    <t>점심식대 (Lunch)</t>
    <phoneticPr fontId="18" type="noConversion"/>
  </si>
  <si>
    <t>Cost</t>
  </si>
  <si>
    <t>Cost</t>
    <phoneticPr fontId="18" type="noConversion"/>
  </si>
  <si>
    <t>Employee</t>
    <phoneticPr fontId="18" type="noConversion"/>
  </si>
  <si>
    <t>근무일수 (Working Day)</t>
    <phoneticPr fontId="18" type="noConversion"/>
  </si>
  <si>
    <t xml:space="preserve">Accounting-Finance </t>
    <phoneticPr fontId="18" type="noConversion"/>
  </si>
  <si>
    <t>Manufacturing</t>
    <phoneticPr fontId="18" type="noConversion"/>
  </si>
  <si>
    <t>Staff Information</t>
  </si>
  <si>
    <t>Title</t>
  </si>
  <si>
    <t>지급 타입</t>
    <phoneticPr fontId="18" type="noConversion"/>
  </si>
  <si>
    <t>Manager</t>
    <phoneticPr fontId="18" type="noConversion"/>
  </si>
  <si>
    <t>기본급</t>
    <phoneticPr fontId="18" type="noConversion"/>
  </si>
  <si>
    <t>Supervisor</t>
    <phoneticPr fontId="18" type="noConversion"/>
  </si>
  <si>
    <t>거리 Km 당</t>
    <phoneticPr fontId="18" type="noConversion"/>
  </si>
  <si>
    <t>-</t>
    <phoneticPr fontId="18" type="noConversion"/>
  </si>
  <si>
    <t>▣ KCTR Shuttle (Transportation)</t>
    <phoneticPr fontId="3" type="noConversion"/>
  </si>
  <si>
    <t>ToTal</t>
    <phoneticPr fontId="18" type="noConversion"/>
  </si>
  <si>
    <t>HR/General Affairs</t>
    <phoneticPr fontId="18" type="noConversion"/>
  </si>
  <si>
    <t>MERVE</t>
    <phoneticPr fontId="18" type="noConversion"/>
  </si>
  <si>
    <t>GÜLSÜM</t>
    <phoneticPr fontId="18" type="noConversion"/>
  </si>
  <si>
    <t>Finance/Account</t>
    <phoneticPr fontId="18" type="noConversion"/>
  </si>
  <si>
    <t>Özge</t>
    <phoneticPr fontId="18" type="noConversion"/>
  </si>
  <si>
    <t>Haticenur</t>
    <phoneticPr fontId="18" type="noConversion"/>
  </si>
  <si>
    <t>Assistant Specialist</t>
    <phoneticPr fontId="18" type="noConversion"/>
  </si>
  <si>
    <t>New(Dec)</t>
    <phoneticPr fontId="18" type="noConversion"/>
  </si>
  <si>
    <t>OZNUR</t>
    <phoneticPr fontId="18" type="noConversion"/>
  </si>
  <si>
    <t>CH Park</t>
    <phoneticPr fontId="18" type="noConversion"/>
  </si>
  <si>
    <t>CEREN</t>
    <phoneticPr fontId="18" type="noConversion"/>
  </si>
  <si>
    <t>Sevde</t>
    <phoneticPr fontId="18" type="noConversion"/>
  </si>
  <si>
    <t>Team</t>
    <phoneticPr fontId="18" type="noConversion"/>
  </si>
  <si>
    <t>Name</t>
  </si>
  <si>
    <t>Name</t>
    <phoneticPr fontId="18" type="noConversion"/>
  </si>
  <si>
    <t>Position</t>
    <phoneticPr fontId="18" type="noConversion"/>
  </si>
  <si>
    <t>Type</t>
    <phoneticPr fontId="18" type="noConversion"/>
  </si>
  <si>
    <t>Accounting-Finance Personel Expenses</t>
    <phoneticPr fontId="18" type="noConversion"/>
  </si>
  <si>
    <t>Accounting-Finance</t>
  </si>
  <si>
    <t>Manufacturing Personel Expenses</t>
    <phoneticPr fontId="18" type="noConversion"/>
  </si>
  <si>
    <t xml:space="preserve">Manufacturing </t>
  </si>
  <si>
    <t>`26 Esti</t>
    <phoneticPr fontId="18" type="noConversion"/>
  </si>
  <si>
    <t>최소거리</t>
  </si>
  <si>
    <t>최소거리</t>
    <phoneticPr fontId="18" type="noConversion"/>
  </si>
  <si>
    <t>포드 셔틀</t>
    <phoneticPr fontId="18" type="noConversion"/>
  </si>
  <si>
    <t>널산 셔틀</t>
    <phoneticPr fontId="18" type="noConversion"/>
  </si>
  <si>
    <t>미지원</t>
    <phoneticPr fontId="18" type="noConversion"/>
  </si>
  <si>
    <t xml:space="preserve">주재원  </t>
    <phoneticPr fontId="25" type="noConversion"/>
  </si>
  <si>
    <t xml:space="preserve">Manufacturing </t>
    <phoneticPr fontId="25" type="noConversion"/>
  </si>
  <si>
    <t>▣ `26 Telecommunications Services</t>
    <phoneticPr fontId="3" type="noConversion"/>
  </si>
  <si>
    <t>`25 : 11,036.72 TL</t>
    <phoneticPr fontId="3" type="noConversion"/>
  </si>
  <si>
    <t>`25 : 1,521 TL, `26 Nov expired</t>
    <phoneticPr fontId="3" type="noConversion"/>
  </si>
  <si>
    <t>`25 : 690 TL, `26 Nov expired</t>
    <phoneticPr fontId="3" type="noConversion"/>
  </si>
  <si>
    <t>`25 : 690 TL, `26 Oct expired</t>
    <phoneticPr fontId="3" type="noConversion"/>
  </si>
  <si>
    <t>Total</t>
    <phoneticPr fontId="3" type="noConversion"/>
  </si>
  <si>
    <t xml:space="preserve"> 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</si>
  <si>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</si>
  <si>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</si>
  <si>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</si>
  <si>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</si>
  <si>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</si>
  <si>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</si>
  <si>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</si>
  <si>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</si>
  <si>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</si>
  <si>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 xml:space="preserve"> December</t>
  </si>
  <si>
    <t>Annual Total</t>
  </si>
  <si>
    <t>Fuel expenses</t>
  </si>
  <si>
    <t>Vehicle rental expenses (including leasing)</t>
    <phoneticPr fontId="3" type="noConversion"/>
  </si>
  <si>
    <t>Executive</t>
    <phoneticPr fontId="3" type="noConversion"/>
  </si>
  <si>
    <t>Accounting-Finance</t>
    <phoneticPr fontId="3" type="noConversion"/>
  </si>
  <si>
    <t>Manufacturing</t>
    <phoneticPr fontId="3" type="noConversion"/>
  </si>
  <si>
    <t>Office stationery</t>
    <phoneticPr fontId="3" type="noConversion"/>
  </si>
  <si>
    <t>Water, tea, coffee, and refreshments</t>
    <phoneticPr fontId="3" type="noConversion"/>
  </si>
  <si>
    <t>Cleaning supplies</t>
    <phoneticPr fontId="3" type="noConversion"/>
  </si>
  <si>
    <t>25 : 5,418 TL</t>
    <phoneticPr fontId="3" type="noConversion"/>
  </si>
  <si>
    <t>25 : 9,416 TL</t>
    <phoneticPr fontId="3" type="noConversion"/>
  </si>
  <si>
    <t>25 : 2,131 TL</t>
    <phoneticPr fontId="3" type="noConversion"/>
  </si>
  <si>
    <t>25 : 11,758 TL (new warehouse)</t>
    <phoneticPr fontId="3" type="noConversion"/>
  </si>
  <si>
    <t>25 : 5,879 TL</t>
    <phoneticPr fontId="3" type="noConversion"/>
  </si>
  <si>
    <t>OHS (Occupational Health and Safety Unit) service fee</t>
    <phoneticPr fontId="3" type="noConversion"/>
  </si>
  <si>
    <t>25 : 6,590 TL (new warehouse)</t>
    <phoneticPr fontId="3" type="noConversion"/>
  </si>
  <si>
    <t>Maintenance fees</t>
    <phoneticPr fontId="3" type="noConversion"/>
  </si>
  <si>
    <t>Racking system audit (n=1/year)</t>
    <phoneticPr fontId="3" type="noConversion"/>
  </si>
  <si>
    <t>계약 만료 기간</t>
    <phoneticPr fontId="3" type="noConversion"/>
  </si>
  <si>
    <t>Executive rent house management fee(Electricity/water)</t>
    <phoneticPr fontId="3" type="noConversion"/>
  </si>
  <si>
    <t>Executive rent house</t>
    <phoneticPr fontId="3" type="noConversion"/>
  </si>
  <si>
    <t>▣ IT Service</t>
    <phoneticPr fontId="3" type="noConversion"/>
  </si>
  <si>
    <t>Proser</t>
  </si>
  <si>
    <t xml:space="preserve">Payment Status   </t>
  </si>
  <si>
    <t xml:space="preserve">Aug </t>
  </si>
  <si>
    <t>RINT</t>
  </si>
  <si>
    <t>DATA CENTER</t>
  </si>
  <si>
    <t>Montly</t>
  </si>
  <si>
    <t>SQL SERVICE</t>
  </si>
  <si>
    <t>FORTIGATE</t>
  </si>
  <si>
    <t>YEARLY</t>
  </si>
  <si>
    <t>Fortigate</t>
  </si>
  <si>
    <t>IT SERVICE FEE</t>
  </si>
  <si>
    <t>Chip Computer</t>
  </si>
  <si>
    <t>LICENCE LOGO</t>
  </si>
  <si>
    <t>LEM LICENCE</t>
  </si>
  <si>
    <t>LOGO TIGER</t>
  </si>
  <si>
    <t>Fortilogger</t>
    <phoneticPr fontId="3" type="noConversion"/>
  </si>
  <si>
    <t>Contact</t>
    <phoneticPr fontId="3" type="noConversion"/>
  </si>
  <si>
    <t>2024.6~2025.6</t>
    <phoneticPr fontId="3" type="noConversion"/>
  </si>
  <si>
    <t>▣ KCTR stationery/water</t>
    <phoneticPr fontId="3" type="noConversion"/>
  </si>
  <si>
    <t>▣ RENT Car</t>
    <phoneticPr fontId="18" type="noConversion"/>
  </si>
  <si>
    <t>Birthday Gift/fee</t>
    <phoneticPr fontId="3" type="noConversion"/>
  </si>
  <si>
    <t>인원</t>
    <phoneticPr fontId="36" type="noConversion"/>
  </si>
  <si>
    <t>횟수</t>
    <phoneticPr fontId="36" type="noConversion"/>
  </si>
  <si>
    <t>1회/년</t>
    <phoneticPr fontId="36" type="noConversion"/>
  </si>
  <si>
    <t>생일 케익 (1,000/인)</t>
    <phoneticPr fontId="36" type="noConversion"/>
  </si>
  <si>
    <t>holiday Gift</t>
    <phoneticPr fontId="3" type="noConversion"/>
  </si>
  <si>
    <t xml:space="preserve">3월 (Ramadan) 3/19 
각각 6,000TL </t>
    <phoneticPr fontId="36" type="noConversion"/>
  </si>
  <si>
    <t>Emergency Pills</t>
    <phoneticPr fontId="3" type="noConversion"/>
  </si>
  <si>
    <t>-</t>
    <phoneticPr fontId="36" type="noConversion"/>
  </si>
  <si>
    <t>2,000TL/Per month</t>
    <phoneticPr fontId="36" type="noConversion"/>
  </si>
  <si>
    <t>1000TL/Per month</t>
    <phoneticPr fontId="36" type="noConversion"/>
  </si>
  <si>
    <t>▣ KCTR Social benefit</t>
    <phoneticPr fontId="3" type="noConversion"/>
  </si>
  <si>
    <t>1회/월</t>
    <phoneticPr fontId="36" type="noConversion"/>
  </si>
  <si>
    <t>팀별 회식 : 10,000TL</t>
    <phoneticPr fontId="18" type="noConversion"/>
  </si>
  <si>
    <t>2회/월</t>
    <phoneticPr fontId="36" type="noConversion"/>
  </si>
  <si>
    <t>Work Safety Plate etc</t>
    <phoneticPr fontId="3" type="noConversion"/>
  </si>
  <si>
    <t>필요시 : 10,000TL</t>
    <phoneticPr fontId="18" type="noConversion"/>
  </si>
  <si>
    <t>▣ `26 KCTR Transportation</t>
    <phoneticPr fontId="3" type="noConversion"/>
  </si>
  <si>
    <t xml:space="preserve">▣ 2026 KCTR TRAINING AND COST PLAN </t>
    <phoneticPr fontId="18" type="noConversion"/>
  </si>
  <si>
    <t>Forklift  (n=3/year, Every 300Hr)</t>
    <phoneticPr fontId="3" type="noConversion"/>
  </si>
  <si>
    <t>▣ KCTR Warehouse payment</t>
    <phoneticPr fontId="18" type="noConversion"/>
  </si>
  <si>
    <t>관리비
 Warehouse Water expenses</t>
    <phoneticPr fontId="3" type="noConversion"/>
  </si>
  <si>
    <t>▣ Domestic and Oversea Trip</t>
    <phoneticPr fontId="18" type="noConversion"/>
  </si>
  <si>
    <t>비고</t>
    <phoneticPr fontId="18" type="noConversion"/>
  </si>
  <si>
    <t>1회(왕복)</t>
    <phoneticPr fontId="18" type="noConversion"/>
  </si>
  <si>
    <t>비행기</t>
    <phoneticPr fontId="6" type="noConversion"/>
  </si>
  <si>
    <t>일일</t>
    <phoneticPr fontId="6" type="noConversion"/>
  </si>
  <si>
    <t>식비</t>
    <phoneticPr fontId="6" type="noConversion"/>
  </si>
  <si>
    <t>숙박비</t>
    <phoneticPr fontId="6" type="noConversion"/>
  </si>
  <si>
    <t>렌트비</t>
    <phoneticPr fontId="6" type="noConversion"/>
  </si>
  <si>
    <t>주유,보험,차량 포함</t>
    <phoneticPr fontId="18" type="noConversion"/>
  </si>
  <si>
    <t>일잡비</t>
    <phoneticPr fontId="18" type="noConversion"/>
  </si>
  <si>
    <t>총합계</t>
    <phoneticPr fontId="6" type="noConversion"/>
  </si>
  <si>
    <t xml:space="preserve">▣ Domestic </t>
    <phoneticPr fontId="18" type="noConversion"/>
  </si>
  <si>
    <t>Team</t>
    <phoneticPr fontId="3" type="noConversion"/>
  </si>
  <si>
    <t>Nursan</t>
    <phoneticPr fontId="18" type="noConversion"/>
  </si>
  <si>
    <t>Takosan</t>
    <phoneticPr fontId="18" type="noConversion"/>
  </si>
  <si>
    <t>QC/PM</t>
    <phoneticPr fontId="18" type="noConversion"/>
  </si>
  <si>
    <t>Human</t>
    <phoneticPr fontId="18" type="noConversion"/>
  </si>
  <si>
    <t>Frequency</t>
    <phoneticPr fontId="18" type="noConversion"/>
  </si>
  <si>
    <t>Place</t>
    <phoneticPr fontId="3" type="noConversion"/>
  </si>
  <si>
    <t>Meal</t>
    <phoneticPr fontId="6" type="noConversion"/>
  </si>
  <si>
    <t>Accomodation</t>
    <phoneticPr fontId="6" type="noConversion"/>
  </si>
  <si>
    <t>Oil</t>
    <phoneticPr fontId="3" type="noConversion"/>
  </si>
  <si>
    <t>Cost type</t>
    <phoneticPr fontId="3" type="noConversion"/>
  </si>
  <si>
    <t>Monthly cost (TL)</t>
    <phoneticPr fontId="18" type="noConversion"/>
  </si>
  <si>
    <t>1 time cost
 (TL)</t>
    <phoneticPr fontId="18" type="noConversion"/>
  </si>
  <si>
    <t>3 time/Every month</t>
    <phoneticPr fontId="6" type="noConversion"/>
  </si>
  <si>
    <t>5 time/Every month</t>
    <phoneticPr fontId="6" type="noConversion"/>
  </si>
  <si>
    <t>Monthly Total (TL)</t>
    <phoneticPr fontId="18" type="noConversion"/>
  </si>
  <si>
    <t>MP&amp;L</t>
    <phoneticPr fontId="3" type="noConversion"/>
  </si>
  <si>
    <t>Nursan/takosan
etc</t>
    <phoneticPr fontId="18" type="noConversion"/>
  </si>
  <si>
    <t>1 time/Every month</t>
    <phoneticPr fontId="6" type="noConversion"/>
  </si>
  <si>
    <t>Qc Resident Employee</t>
    <phoneticPr fontId="3" type="noConversion"/>
  </si>
  <si>
    <t>Cost</t>
    <phoneticPr fontId="3" type="noConversion"/>
  </si>
  <si>
    <t>2 time/Every month</t>
    <phoneticPr fontId="6" type="noConversion"/>
  </si>
  <si>
    <t>Finance</t>
    <phoneticPr fontId="3" type="noConversion"/>
  </si>
  <si>
    <t>Tao-r/Erta/etc</t>
    <phoneticPr fontId="18" type="noConversion"/>
  </si>
  <si>
    <t>HR/GA</t>
  </si>
  <si>
    <t>HR/GA</t>
    <phoneticPr fontId="3" type="noConversion"/>
  </si>
  <si>
    <t>1 time/Every 2 month</t>
    <phoneticPr fontId="6" type="noConversion"/>
  </si>
  <si>
    <t>Domestic</t>
    <phoneticPr fontId="3" type="noConversion"/>
  </si>
  <si>
    <t>Accounting-Finance</t>
    <phoneticPr fontId="18" type="noConversion"/>
  </si>
  <si>
    <t>KCTR 출장대응(KCTR→ 기타)</t>
    <phoneticPr fontId="18" type="noConversion"/>
  </si>
  <si>
    <t>ALL</t>
    <phoneticPr fontId="18" type="noConversion"/>
  </si>
  <si>
    <t>All</t>
    <phoneticPr fontId="18" type="noConversion"/>
  </si>
  <si>
    <t>사업계획 및 협의</t>
    <phoneticPr fontId="18" type="noConversion"/>
  </si>
  <si>
    <t>KSC 본사</t>
    <phoneticPr fontId="18" type="noConversion"/>
  </si>
  <si>
    <t>Project</t>
    <phoneticPr fontId="3" type="noConversion"/>
  </si>
  <si>
    <t>Duration</t>
    <phoneticPr fontId="18" type="noConversion"/>
  </si>
  <si>
    <t>Mar</t>
    <phoneticPr fontId="18" type="noConversion"/>
  </si>
  <si>
    <t>Q.C 및 회계 업무
품질1명/회계1명</t>
    <phoneticPr fontId="18" type="noConversion"/>
  </si>
  <si>
    <t>May</t>
    <phoneticPr fontId="18" type="noConversion"/>
  </si>
  <si>
    <t>Feb</t>
    <phoneticPr fontId="18" type="noConversion"/>
  </si>
  <si>
    <t>KSCE</t>
    <phoneticPr fontId="18" type="noConversion"/>
  </si>
  <si>
    <t>Q.C1명 / PM 1명
MP&amp;L 1명</t>
    <phoneticPr fontId="18" type="noConversion"/>
  </si>
  <si>
    <t>People</t>
    <phoneticPr fontId="18" type="noConversion"/>
  </si>
  <si>
    <t>EV-V4</t>
  </si>
  <si>
    <t>EV-V4</t>
    <phoneticPr fontId="18" type="noConversion"/>
  </si>
  <si>
    <t>Cost 1명 / Finance 1명
HR 1명</t>
    <phoneticPr fontId="18" type="noConversion"/>
  </si>
  <si>
    <t>Jun</t>
    <phoneticPr fontId="18" type="noConversion"/>
  </si>
  <si>
    <t>BEV-M</t>
    <phoneticPr fontId="18" type="noConversion"/>
  </si>
  <si>
    <t>포장 및 품질 협의
MP&amp;L1명 + 품질1명
FOE(루마니아)</t>
    <phoneticPr fontId="18" type="noConversion"/>
  </si>
  <si>
    <t>FOE(루마니아)</t>
    <phoneticPr fontId="18" type="noConversion"/>
  </si>
  <si>
    <t>Jan</t>
    <phoneticPr fontId="6" type="noConversion"/>
  </si>
  <si>
    <t>TL (one Time)</t>
    <phoneticPr fontId="3" type="noConversion"/>
  </si>
  <si>
    <t>Sep</t>
    <phoneticPr fontId="18" type="noConversion"/>
  </si>
  <si>
    <t>oct</t>
  </si>
  <si>
    <t>Oct</t>
    <phoneticPr fontId="18" type="noConversion"/>
  </si>
  <si>
    <t>PHEV-E</t>
    <phoneticPr fontId="18" type="noConversion"/>
  </si>
  <si>
    <t>FORD S/AFRICA</t>
    <phoneticPr fontId="18" type="noConversion"/>
  </si>
  <si>
    <t>Nov</t>
    <phoneticPr fontId="18" type="noConversion"/>
  </si>
  <si>
    <t>▣ KCTR Oversea business trip</t>
    <phoneticPr fontId="18" type="noConversion"/>
  </si>
  <si>
    <t>KCTR 회식(dinner)</t>
    <phoneticPr fontId="3" type="noConversion"/>
  </si>
  <si>
    <t>KCTR 회식 (Team dinner)</t>
    <phoneticPr fontId="3" type="noConversion"/>
  </si>
  <si>
    <t>손님 접식대 (Guest dinner)</t>
    <phoneticPr fontId="3" type="noConversion"/>
  </si>
  <si>
    <t>KCTR Car (Purchasing)
Ford Explorer(기준가)</t>
    <phoneticPr fontId="3" type="noConversion"/>
  </si>
  <si>
    <t>▣ Loan payment</t>
    <phoneticPr fontId="18" type="noConversion"/>
  </si>
  <si>
    <t xml:space="preserve">SGK 총급여의 약 37% </t>
    <phoneticPr fontId="70" type="noConversion"/>
  </si>
  <si>
    <t>SGK</t>
    <phoneticPr fontId="70" type="noConversion"/>
  </si>
  <si>
    <t>INCOME TAX</t>
    <phoneticPr fontId="70" type="noConversion"/>
  </si>
  <si>
    <t>4대보험</t>
  </si>
  <si>
    <t>실업급여</t>
  </si>
  <si>
    <t>소득세</t>
  </si>
  <si>
    <t>인지세</t>
  </si>
  <si>
    <t>근로자</t>
  </si>
  <si>
    <t>고용주</t>
  </si>
  <si>
    <t>세금</t>
  </si>
  <si>
    <t>Department</t>
    <phoneticPr fontId="70" type="noConversion"/>
  </si>
  <si>
    <t>Employee</t>
    <phoneticPr fontId="70" type="noConversion"/>
  </si>
  <si>
    <t>Position</t>
    <phoneticPr fontId="70" type="noConversion"/>
  </si>
  <si>
    <t>Title</t>
    <phoneticPr fontId="70" type="noConversion"/>
  </si>
  <si>
    <t>Gender</t>
    <phoneticPr fontId="70" type="noConversion"/>
  </si>
  <si>
    <t>Age</t>
    <phoneticPr fontId="70" type="noConversion"/>
  </si>
  <si>
    <t>Start Date</t>
    <phoneticPr fontId="70" type="noConversion"/>
  </si>
  <si>
    <t>근속년수
(26년1월 기준)</t>
    <phoneticPr fontId="70" type="noConversion"/>
  </si>
  <si>
    <t>MONTHLY
(NET)
$</t>
    <phoneticPr fontId="70" type="noConversion"/>
  </si>
  <si>
    <t>MONTHLY
(NET)
TL</t>
  </si>
  <si>
    <t>GROSS(MONTH)</t>
  </si>
  <si>
    <t>GROSS(YEAR)</t>
  </si>
  <si>
    <t>SSI Ee</t>
  </si>
  <si>
    <t>SSI Er</t>
  </si>
  <si>
    <t>UEe</t>
  </si>
  <si>
    <t>UEr</t>
  </si>
  <si>
    <t>CITB</t>
  </si>
  <si>
    <t>ITB</t>
  </si>
  <si>
    <t>Income Tax</t>
  </si>
  <si>
    <t>Stamp Tax</t>
  </si>
  <si>
    <t>MLA</t>
  </si>
  <si>
    <t>Net(MONTH)</t>
  </si>
  <si>
    <t>Net(YEAR)</t>
  </si>
  <si>
    <t>NET</t>
  </si>
  <si>
    <t>HM.CHO</t>
  </si>
  <si>
    <t>GENERAL MANAGER</t>
  </si>
  <si>
    <t>정규</t>
    <phoneticPr fontId="70" type="noConversion"/>
  </si>
  <si>
    <t>SH.LEE</t>
    <phoneticPr fontId="70" type="noConversion"/>
  </si>
  <si>
    <t>D.GENERAL MANAGER</t>
    <phoneticPr fontId="70" type="noConversion"/>
  </si>
  <si>
    <t>2024.07</t>
    <phoneticPr fontId="70" type="noConversion"/>
  </si>
  <si>
    <t>HR/GA</t>
    <phoneticPr fontId="70" type="noConversion"/>
  </si>
  <si>
    <t>MERVE GÜNDÜZ</t>
    <phoneticPr fontId="70" type="noConversion"/>
  </si>
  <si>
    <t>MANAGER</t>
    <phoneticPr fontId="70" type="noConversion"/>
  </si>
  <si>
    <t>Team Leader</t>
    <phoneticPr fontId="70" type="noConversion"/>
  </si>
  <si>
    <t>Female</t>
    <phoneticPr fontId="70" type="noConversion"/>
  </si>
  <si>
    <t>QC</t>
    <phoneticPr fontId="70" type="noConversion"/>
  </si>
  <si>
    <t>CEREN KARAKOÇUM</t>
    <phoneticPr fontId="70" type="noConversion"/>
  </si>
  <si>
    <t xml:space="preserve">MANAGER </t>
    <phoneticPr fontId="70" type="noConversion"/>
  </si>
  <si>
    <t>MP&amp;L</t>
    <phoneticPr fontId="70" type="noConversion"/>
  </si>
  <si>
    <t>ÖZNUR KOCAMAN</t>
    <phoneticPr fontId="70" type="noConversion"/>
  </si>
  <si>
    <t>F/A</t>
    <phoneticPr fontId="70" type="noConversion"/>
  </si>
  <si>
    <t>OZGE REÇBER</t>
    <phoneticPr fontId="70" type="noConversion"/>
  </si>
  <si>
    <t xml:space="preserve">SUPERVISOR </t>
    <phoneticPr fontId="70" type="noConversion"/>
  </si>
  <si>
    <t>MURAT ÖZEN</t>
    <phoneticPr fontId="70" type="noConversion"/>
  </si>
  <si>
    <t>SPECIALIST</t>
    <phoneticPr fontId="70" type="noConversion"/>
  </si>
  <si>
    <t>Male</t>
    <phoneticPr fontId="70" type="noConversion"/>
  </si>
  <si>
    <t>COST</t>
    <phoneticPr fontId="70" type="noConversion"/>
  </si>
  <si>
    <t>TUGAY BİRBEN</t>
    <phoneticPr fontId="70" type="noConversion"/>
  </si>
  <si>
    <t>ENGINEER</t>
    <phoneticPr fontId="70" type="noConversion"/>
  </si>
  <si>
    <t>KÜBRA CEREN ÖZEN</t>
    <phoneticPr fontId="70" type="noConversion"/>
  </si>
  <si>
    <t>PM</t>
    <phoneticPr fontId="70" type="noConversion"/>
  </si>
  <si>
    <t>AKIN ILGAZ</t>
    <phoneticPr fontId="70" type="noConversion"/>
  </si>
  <si>
    <t>MUZAFFER TÜRK</t>
    <phoneticPr fontId="70" type="noConversion"/>
  </si>
  <si>
    <t>TECHNICIAN</t>
    <phoneticPr fontId="70" type="noConversion"/>
  </si>
  <si>
    <t>İBRAHIM OSMANLI</t>
    <phoneticPr fontId="70" type="noConversion"/>
  </si>
  <si>
    <t>MELİS BİÇER YILDIZ</t>
    <phoneticPr fontId="70" type="noConversion"/>
  </si>
  <si>
    <t>ELİF ÇAĞLA KARAGÖL</t>
    <phoneticPr fontId="70" type="noConversion"/>
  </si>
  <si>
    <t>MERİÇ EMRE BAYAKTAR</t>
    <phoneticPr fontId="70" type="noConversion"/>
  </si>
  <si>
    <t>ASSISTANT SPECIALIST</t>
    <phoneticPr fontId="70" type="noConversion"/>
  </si>
  <si>
    <t>FEVZİ BAHADIR YILDIRIM</t>
    <phoneticPr fontId="70" type="noConversion"/>
  </si>
  <si>
    <t>SEVDENUR AYHAN</t>
    <phoneticPr fontId="70" type="noConversion"/>
  </si>
  <si>
    <t>CHAN HO PARK</t>
    <phoneticPr fontId="70" type="noConversion"/>
  </si>
  <si>
    <t>GÜLSÜM ÖZDEMİR</t>
    <phoneticPr fontId="70" type="noConversion"/>
  </si>
  <si>
    <t>STAFF</t>
    <phoneticPr fontId="70" type="noConversion"/>
  </si>
  <si>
    <t>▣ `26 Salary</t>
    <phoneticPr fontId="3" type="noConversion"/>
  </si>
  <si>
    <t>Current Employee</t>
    <phoneticPr fontId="3" type="noConversion"/>
  </si>
  <si>
    <t>New hiring Employee</t>
    <phoneticPr fontId="3" type="noConversion"/>
  </si>
  <si>
    <t>영업 (예상)</t>
    <phoneticPr fontId="70" type="noConversion"/>
  </si>
  <si>
    <t>Korean Manager</t>
    <phoneticPr fontId="70" type="noConversion"/>
  </si>
  <si>
    <t>Manager</t>
    <phoneticPr fontId="70" type="noConversion"/>
  </si>
  <si>
    <t>Sales</t>
    <phoneticPr fontId="70" type="noConversion"/>
  </si>
  <si>
    <t>TBD</t>
    <phoneticPr fontId="70" type="noConversion"/>
  </si>
  <si>
    <t xml:space="preserve">Engineer </t>
    <phoneticPr fontId="70" type="noConversion"/>
  </si>
  <si>
    <t>-</t>
    <phoneticPr fontId="70" type="noConversion"/>
  </si>
  <si>
    <t>July</t>
    <phoneticPr fontId="70" type="noConversion"/>
  </si>
  <si>
    <t>Feb</t>
    <phoneticPr fontId="70" type="noConversion"/>
  </si>
  <si>
    <t>Jan</t>
    <phoneticPr fontId="70" type="noConversion"/>
  </si>
  <si>
    <t>Aug</t>
    <phoneticPr fontId="70" type="noConversion"/>
  </si>
  <si>
    <t>▣ KSC to KCTR Oversea business trip</t>
    <phoneticPr fontId="18" type="noConversion"/>
  </si>
  <si>
    <t>KCTR</t>
    <phoneticPr fontId="18" type="noConversion"/>
  </si>
  <si>
    <t>세르비아 이관 단가 협의
(Cost)</t>
    <phoneticPr fontId="18" type="noConversion"/>
  </si>
  <si>
    <t>Jun</t>
    <phoneticPr fontId="6" type="noConversion"/>
  </si>
  <si>
    <t>회계 안정화업무
회계2명</t>
    <phoneticPr fontId="18" type="noConversion"/>
  </si>
  <si>
    <t>구매 지원 영업/구매 1명</t>
    <phoneticPr fontId="18" type="noConversion"/>
  </si>
  <si>
    <t>기획 안정화업무
기획2명</t>
    <phoneticPr fontId="18" type="noConversion"/>
  </si>
  <si>
    <t>Apr</t>
    <phoneticPr fontId="18" type="noConversion"/>
  </si>
  <si>
    <t>양산안정화출장
설계1명 + PM1명</t>
    <phoneticPr fontId="18" type="noConversion"/>
  </si>
  <si>
    <t>Oct</t>
    <phoneticPr fontId="6" type="noConversion"/>
  </si>
  <si>
    <t>Oversea</t>
    <phoneticPr fontId="3" type="noConversion"/>
  </si>
  <si>
    <t xml:space="preserve">Service Companies </t>
    <phoneticPr fontId="18" type="noConversion"/>
  </si>
  <si>
    <t>Consultancy</t>
    <phoneticPr fontId="36" type="noConversion"/>
  </si>
  <si>
    <t>Account</t>
  </si>
  <si>
    <t>총합</t>
    <phoneticPr fontId="18" type="noConversion"/>
  </si>
  <si>
    <t>CHEP Rent Fee</t>
  </si>
  <si>
    <t>30th Jun 2025 ~ 30th Jun 2026 ~</t>
    <phoneticPr fontId="3" type="noConversion"/>
  </si>
  <si>
    <t xml:space="preserve">Car washing </t>
    <phoneticPr fontId="36" type="noConversion"/>
  </si>
  <si>
    <t>Department</t>
  </si>
  <si>
    <t>2026 Educational Program</t>
  </si>
  <si>
    <t>Price</t>
  </si>
  <si>
    <t>Merve Gündüz</t>
  </si>
  <si>
    <t>Contract Law Certificate Program</t>
  </si>
  <si>
    <t>FEBRURARY</t>
  </si>
  <si>
    <t>Performance Management System Training Program</t>
  </si>
  <si>
    <t>NOVEMBER</t>
  </si>
  <si>
    <t>Kübra Ceren Özen</t>
  </si>
  <si>
    <t>Engineer</t>
  </si>
  <si>
    <t>Human Resources Management Training</t>
  </si>
  <si>
    <t>JANUARY</t>
  </si>
  <si>
    <t>Ceren Karakoçum</t>
  </si>
  <si>
    <t>Q.C</t>
  </si>
  <si>
    <t>IATF 16949: 2016 Automotive Quality Management System Information Training</t>
  </si>
  <si>
    <t>FEBRUARY</t>
  </si>
  <si>
    <t>VDA 6.3 Process Auditor Training (MBT Danışmanlık)</t>
  </si>
  <si>
    <t>AUGUST</t>
  </si>
  <si>
    <t>Sevdenur Ayhan</t>
  </si>
  <si>
    <t>IATF 16949 Certificate Program Automotive Quality Management System</t>
  </si>
  <si>
    <t>SEPTEMBER</t>
  </si>
  <si>
    <t>VDA AIAG PFMEA (Failure Modes Effects Analysis) Information Training</t>
  </si>
  <si>
    <t>Muzaffer Türk</t>
  </si>
  <si>
    <t>Technician</t>
  </si>
  <si>
    <t>8D Problem Solving &amp; Root Cause Analysis</t>
  </si>
  <si>
    <t>JULY</t>
  </si>
  <si>
    <t>Measurement Techniques &amp; Gauge Handling</t>
  </si>
  <si>
    <t>Fevzi Bahadır Yılmaz</t>
  </si>
  <si>
    <t>İbrahim Osmanlı</t>
  </si>
  <si>
    <t>VDA 6.3 Process Audit Training</t>
  </si>
  <si>
    <t>MARCH</t>
  </si>
  <si>
    <t>Akın Ilgaz</t>
  </si>
  <si>
    <t>Specialist</t>
  </si>
  <si>
    <t>PROJECT</t>
  </si>
  <si>
    <t>Risk-Based Process Management Training</t>
  </si>
  <si>
    <t>JUNE</t>
  </si>
  <si>
    <t>PMP / PMI Education</t>
  </si>
  <si>
    <t>OCTOBER</t>
  </si>
  <si>
    <t>Chan Ho Park</t>
  </si>
  <si>
    <t>Öznur Kocaman</t>
  </si>
  <si>
    <t>Logistics and Supply Chain Management Certificate Program</t>
  </si>
  <si>
    <t>Excel</t>
  </si>
  <si>
    <t>Murat Özen</t>
  </si>
  <si>
    <t>Inventory Management &amp; Stock Accuracy Training</t>
  </si>
  <si>
    <t>Tugay Birben</t>
  </si>
  <si>
    <t>Staff</t>
  </si>
  <si>
    <t>Warehouse and Logistics Management Training</t>
  </si>
  <si>
    <t>APRIL</t>
  </si>
  <si>
    <t>Meriç Emre Bayraktar</t>
  </si>
  <si>
    <t>Asistant Specialist</t>
  </si>
  <si>
    <t>Ozge Reçber</t>
  </si>
  <si>
    <t>FINANCE</t>
  </si>
  <si>
    <t>Finance Training - For Managers</t>
  </si>
  <si>
    <t>Comprehensive International Financial Reporting Standards / Turkish Accounting Standards</t>
  </si>
  <si>
    <t>Elif Çağla Karagöl</t>
  </si>
  <si>
    <t>Budget Preparation and Budget Management Training</t>
  </si>
  <si>
    <t>Financial Statement Analysis and Techniques</t>
  </si>
  <si>
    <t>Haticenur Şeker</t>
  </si>
  <si>
    <t>ACCOUNTING</t>
  </si>
  <si>
    <t>Accounting Records - Intra-Month, Month-End and Closing</t>
  </si>
  <si>
    <t>Tax Law and Accounting Education</t>
  </si>
  <si>
    <t>Melis Biçer Yıldız</t>
  </si>
  <si>
    <t>COST</t>
  </si>
  <si>
    <t>How to Manage Your Supplier</t>
  </si>
  <si>
    <t>Product Cost and Investment Cash Flow Analysis</t>
  </si>
  <si>
    <t>DECEMBER</t>
  </si>
  <si>
    <t>JANUAR</t>
  </si>
  <si>
    <t>PMP / PMI Education</t>
    <phoneticPr fontId="3" type="noConversion"/>
  </si>
  <si>
    <t>Schedule</t>
    <phoneticPr fontId="3" type="noConversion"/>
  </si>
  <si>
    <t>Training</t>
    <phoneticPr fontId="3" type="noConversion"/>
  </si>
  <si>
    <t>`25년 동일</t>
    <phoneticPr fontId="3" type="noConversion"/>
  </si>
  <si>
    <t>▣ KCTR health insurance</t>
    <phoneticPr fontId="3" type="noConversion"/>
  </si>
  <si>
    <t>Job Start Date</t>
  </si>
  <si>
    <t>Health Insurance Start Date</t>
  </si>
  <si>
    <t>Health Insurance Expiration Date</t>
  </si>
  <si>
    <t>Price 2025</t>
  </si>
  <si>
    <t>Price 2026</t>
  </si>
  <si>
    <t>Renew Date</t>
  </si>
  <si>
    <t>nov</t>
  </si>
  <si>
    <t>jan</t>
  </si>
  <si>
    <t>feb</t>
  </si>
  <si>
    <t>april</t>
  </si>
  <si>
    <t>may</t>
  </si>
  <si>
    <t>aug</t>
  </si>
  <si>
    <t>Soo Hyung Lee</t>
  </si>
  <si>
    <t>Deputy General Manager</t>
  </si>
  <si>
    <t>sep</t>
  </si>
  <si>
    <t>Hee Chan shin</t>
  </si>
  <si>
    <t>Hyun Min Cho</t>
  </si>
  <si>
    <t>Gülsüm Özdemir</t>
  </si>
  <si>
    <t>Cleaner</t>
  </si>
  <si>
    <t>dec</t>
  </si>
  <si>
    <t>New</t>
  </si>
  <si>
    <t>mar</t>
  </si>
  <si>
    <t>25 : 8,100 TL</t>
    <phoneticPr fontId="3" type="noConversion"/>
  </si>
  <si>
    <t>25 : 9,700 TL</t>
    <phoneticPr fontId="3" type="noConversion"/>
  </si>
  <si>
    <t>2 times/team leader</t>
    <phoneticPr fontId="36" type="noConversion"/>
  </si>
  <si>
    <t>600 TL</t>
    <phoneticPr fontId="36" type="noConversion"/>
  </si>
  <si>
    <t>Jul</t>
    <phoneticPr fontId="36" type="noConversion"/>
  </si>
  <si>
    <t>Finance/General</t>
    <phoneticPr fontId="25" type="noConversion"/>
  </si>
  <si>
    <t>Type</t>
    <phoneticPr fontId="36" type="noConversion"/>
  </si>
  <si>
    <t>관리비 
Warehouse Electricity expenses</t>
    <phoneticPr fontId="18" type="noConversion"/>
  </si>
  <si>
    <t>주재원</t>
    <phoneticPr fontId="3" type="noConversion"/>
  </si>
  <si>
    <t>▣ KCTR Warehouse Maintenance</t>
    <phoneticPr fontId="3" type="noConversion"/>
  </si>
  <si>
    <t>Notery payment</t>
    <phoneticPr fontId="3" type="noConversion"/>
  </si>
  <si>
    <t>4회/년</t>
  </si>
  <si>
    <t>Ford-KCTR</t>
    <phoneticPr fontId="3" type="noConversion"/>
  </si>
  <si>
    <t>CHEP Issue Fee</t>
    <phoneticPr fontId="3" type="noConversion"/>
  </si>
  <si>
    <t>Other &amp; Holiday Gift</t>
    <phoneticPr fontId="3" type="noConversion"/>
  </si>
  <si>
    <t>Executive Expenses</t>
    <phoneticPr fontId="36" type="noConversion"/>
  </si>
  <si>
    <t xml:space="preserve">Accounting-Finance Personel </t>
    <phoneticPr fontId="36" type="noConversion"/>
  </si>
  <si>
    <t xml:space="preserve">Manufacturing Personel </t>
    <phoneticPr fontId="36" type="noConversion"/>
  </si>
  <si>
    <t>Current 8, plan 3</t>
    <phoneticPr fontId="36" type="noConversion"/>
  </si>
  <si>
    <t>Total HR</t>
    <phoneticPr fontId="36" type="noConversion"/>
  </si>
  <si>
    <t>Accounting-Finance</t>
    <phoneticPr fontId="36" type="noConversion"/>
  </si>
  <si>
    <t>Manufacturing</t>
    <phoneticPr fontId="36" type="noConversion"/>
  </si>
  <si>
    <t>Rent Support</t>
    <phoneticPr fontId="36" type="noConversion"/>
  </si>
  <si>
    <t>Akin/Park:15,000TL, Murat:5000TL</t>
    <phoneticPr fontId="36" type="noConversion"/>
  </si>
  <si>
    <t>Hyudai i20 (Park)</t>
    <phoneticPr fontId="3" type="noConversion"/>
  </si>
  <si>
    <t>Hyudai i20 (신희찬) 공용</t>
    <phoneticPr fontId="3" type="noConversion"/>
  </si>
  <si>
    <t>new Car Tax</t>
    <phoneticPr fontId="3" type="noConversion"/>
  </si>
  <si>
    <t>KCTR 회식 : 30,000TL</t>
    <phoneticPr fontId="18" type="noConversion"/>
  </si>
  <si>
    <t>(Affiliate Company: Kyungshin cable Türkiye)</t>
    <phoneticPr fontId="6" type="noConversion"/>
  </si>
  <si>
    <t xml:space="preserve">FY </t>
    <phoneticPr fontId="6" type="noConversion"/>
  </si>
  <si>
    <t>Ⅰ. 매출액</t>
  </si>
  <si>
    <t>Ⅰ. SALES</t>
  </si>
  <si>
    <t xml:space="preserve">  1.상품매출</t>
    <phoneticPr fontId="4" type="noConversion"/>
  </si>
  <si>
    <t>1. Merchandise</t>
    <phoneticPr fontId="4" type="noConversion"/>
  </si>
  <si>
    <t>FORD PHEV-E (V710)</t>
    <phoneticPr fontId="4" type="noConversion"/>
  </si>
  <si>
    <t>FORD PHEV-E (P703)</t>
    <phoneticPr fontId="4" type="noConversion"/>
  </si>
  <si>
    <t>FORD BEV-M</t>
  </si>
  <si>
    <t>Components</t>
    <phoneticPr fontId="4" type="noConversion"/>
  </si>
  <si>
    <t xml:space="preserve">  2. 기타 매출</t>
    <phoneticPr fontId="4" type="noConversion"/>
  </si>
  <si>
    <t>2. Other sales</t>
  </si>
  <si>
    <t xml:space="preserve">    └ scrap</t>
  </si>
  <si>
    <t xml:space="preserve">  └ Scrap</t>
    <phoneticPr fontId="4" type="noConversion"/>
  </si>
  <si>
    <t xml:space="preserve">    └ Test Parts</t>
  </si>
  <si>
    <t xml:space="preserve">    └ 기타</t>
  </si>
  <si>
    <t xml:space="preserve">  └ Other</t>
  </si>
  <si>
    <t xml:space="preserve">    └ 기타(투자비)</t>
    <phoneticPr fontId="4" type="noConversion"/>
  </si>
  <si>
    <t xml:space="preserve">  └ Investment</t>
    <phoneticPr fontId="4" type="noConversion"/>
  </si>
  <si>
    <t>Ⅱ. 매출원가</t>
  </si>
  <si>
    <t>Ⅱ. COST OF SALES</t>
  </si>
  <si>
    <t>상품매출원가</t>
    <phoneticPr fontId="6" type="noConversion"/>
  </si>
  <si>
    <t>Cost of merchandise sold</t>
    <phoneticPr fontId="6" type="noConversion"/>
  </si>
  <si>
    <t>1.기초 상품재고</t>
    <phoneticPr fontId="6" type="noConversion"/>
  </si>
  <si>
    <t xml:space="preserve">1. Beginning Merchandise </t>
    <phoneticPr fontId="6" type="noConversion"/>
  </si>
  <si>
    <t>2.당기 상품매입원가</t>
    <phoneticPr fontId="6" type="noConversion"/>
  </si>
  <si>
    <t xml:space="preserve">2. Cost of Merchandise </t>
    <phoneticPr fontId="6" type="noConversion"/>
  </si>
  <si>
    <t>3.타계정전입 (+)</t>
    <phoneticPr fontId="6" type="noConversion"/>
  </si>
  <si>
    <t>3. Transferred from other accounts</t>
    <phoneticPr fontId="6" type="noConversion"/>
  </si>
  <si>
    <t>4.타계정대체 (-)</t>
    <phoneticPr fontId="6" type="noConversion"/>
  </si>
  <si>
    <t>4. Transferred to other accounts</t>
    <phoneticPr fontId="6" type="noConversion"/>
  </si>
  <si>
    <t>5.기말 상품재고</t>
    <phoneticPr fontId="6" type="noConversion"/>
  </si>
  <si>
    <t xml:space="preserve">5. Ending Merchandise </t>
    <phoneticPr fontId="6" type="noConversion"/>
  </si>
  <si>
    <t>기타매출원가</t>
    <phoneticPr fontId="6" type="noConversion"/>
  </si>
  <si>
    <t>Cost of other sold</t>
    <phoneticPr fontId="6" type="noConversion"/>
  </si>
  <si>
    <t xml:space="preserve">   원재료 매출원가</t>
    <phoneticPr fontId="6" type="noConversion"/>
  </si>
  <si>
    <t>Raw material</t>
    <phoneticPr fontId="6" type="noConversion"/>
  </si>
  <si>
    <t xml:space="preserve">   반제품 매출원가</t>
  </si>
  <si>
    <t>Halb</t>
    <phoneticPr fontId="4" type="noConversion"/>
  </si>
  <si>
    <t xml:space="preserve">   기타</t>
    <phoneticPr fontId="6" type="noConversion"/>
  </si>
  <si>
    <t>Other</t>
    <phoneticPr fontId="4" type="noConversion"/>
  </si>
  <si>
    <t xml:space="preserve">   기타(투자비)</t>
    <phoneticPr fontId="6" type="noConversion"/>
  </si>
  <si>
    <t>Investment</t>
  </si>
  <si>
    <t>Ⅲ. 매출총이익</t>
  </si>
  <si>
    <t>Ⅲ. GROSS PROFIT (or GROSS LOSS)</t>
  </si>
  <si>
    <t xml:space="preserve">     (이익률)</t>
  </si>
  <si>
    <t xml:space="preserve">    (Rate)</t>
    <phoneticPr fontId="6" type="noConversion"/>
  </si>
  <si>
    <t>Ⅳ.판매관리비</t>
  </si>
  <si>
    <t>SELLING AND MARKETING EXPENSES</t>
    <phoneticPr fontId="6" type="noConversion"/>
  </si>
  <si>
    <t>Rental Expenses(Boxes)</t>
  </si>
  <si>
    <t>Sorting&amp;Rework Expenses</t>
  </si>
  <si>
    <t>GENERAL ADMINISTRATION EXPENSES</t>
    <phoneticPr fontId="4" type="noConversion"/>
  </si>
  <si>
    <t>Financial &amp; General Affairs Expenses</t>
  </si>
  <si>
    <t xml:space="preserve">Commissions </t>
  </si>
  <si>
    <t>Depreciation and Amortization Expenses</t>
  </si>
  <si>
    <t>← 연말 재무재표 매칭</t>
    <phoneticPr fontId="4" type="noConversion"/>
  </si>
  <si>
    <t>Communication Expenses(Royalty)</t>
    <phoneticPr fontId="4" type="noConversion"/>
  </si>
  <si>
    <t>← 반기별 재무재표 매칭</t>
    <phoneticPr fontId="4" type="noConversion"/>
  </si>
  <si>
    <t>Ⅴ.영업이익</t>
  </si>
  <si>
    <t>Ⅴ.OPERATING INCOME (or LOSS)</t>
  </si>
  <si>
    <t xml:space="preserve">  (이익률)</t>
  </si>
  <si>
    <t xml:space="preserve">   (Rate)</t>
    <phoneticPr fontId="6" type="noConversion"/>
  </si>
  <si>
    <t>Ⅵ.영업외수익</t>
  </si>
  <si>
    <t>Foreign Currency Transactions Profit</t>
  </si>
  <si>
    <t xml:space="preserve"> Foreign Currency Translation of Profit</t>
    <phoneticPr fontId="4" type="noConversion"/>
  </si>
  <si>
    <t>Translation of Foreign Currency Profit</t>
  </si>
  <si>
    <t>OTHER EXTRAORDINARY INCOME AND PROFITS</t>
  </si>
  <si>
    <t>Ⅶ. 영업외비용</t>
  </si>
  <si>
    <t>Interest Expenses (-)</t>
  </si>
  <si>
    <t>Rediscount Interest Expenses(-)</t>
  </si>
  <si>
    <t>Financing Expenses</t>
  </si>
  <si>
    <t>Ⅸ.당기손익</t>
  </si>
  <si>
    <t>Ⅸ.NET INCOME (or LOSS)</t>
  </si>
  <si>
    <t xml:space="preserve"> (이익률)</t>
  </si>
  <si>
    <t xml:space="preserve">   (rate)</t>
  </si>
  <si>
    <t>Other Sample Expenses</t>
  </si>
  <si>
    <t>`25 : 60,361 TL</t>
    <phoneticPr fontId="3" type="noConversion"/>
  </si>
  <si>
    <t>-</t>
    <phoneticPr fontId="3" type="noConversion"/>
  </si>
  <si>
    <t>`25 : 30,732 TL</t>
    <phoneticPr fontId="3" type="noConversion"/>
  </si>
  <si>
    <t>`25 : 276,528 TL</t>
    <phoneticPr fontId="3" type="noConversion"/>
  </si>
  <si>
    <t>▣ `26 KCTR Product Sample Expenses</t>
    <phoneticPr fontId="3" type="noConversion"/>
  </si>
  <si>
    <t>Other Sample Expenses</t>
    <phoneticPr fontId="3" type="noConversion"/>
  </si>
  <si>
    <t>Legal Advice Service (Tao-r)</t>
    <phoneticPr fontId="3" type="noConversion"/>
  </si>
  <si>
    <t>▣ Service sumarry</t>
    <phoneticPr fontId="3" type="noConversion"/>
  </si>
  <si>
    <t>Transfer Pricing Services</t>
    <phoneticPr fontId="36" type="noConversion"/>
  </si>
  <si>
    <t>Audit Services</t>
    <phoneticPr fontId="36" type="noConversion"/>
  </si>
  <si>
    <t>Payroll Services</t>
    <phoneticPr fontId="36" type="noConversion"/>
  </si>
  <si>
    <t>Preparation of Declaration</t>
    <phoneticPr fontId="36" type="noConversion"/>
  </si>
  <si>
    <t>Quarterly Reporting Of Financial Statements</t>
    <phoneticPr fontId="36" type="noConversion"/>
  </si>
  <si>
    <t>Annual (one time)</t>
    <phoneticPr fontId="36" type="noConversion"/>
  </si>
  <si>
    <t>Monthly</t>
    <phoneticPr fontId="36" type="noConversion"/>
  </si>
  <si>
    <t>Quarterly</t>
    <phoneticPr fontId="36" type="noConversion"/>
  </si>
  <si>
    <t>VAT Refund</t>
    <phoneticPr fontId="36" type="noConversion"/>
  </si>
  <si>
    <t>Just in time</t>
    <phoneticPr fontId="36" type="noConversion"/>
  </si>
  <si>
    <t>Frequency</t>
    <phoneticPr fontId="36" type="noConversion"/>
  </si>
  <si>
    <t>▣ 2026 Depreciation Expenses KCTR Asset</t>
    <phoneticPr fontId="3" type="noConversion"/>
  </si>
  <si>
    <t>New manager</t>
    <phoneticPr fontId="36" type="noConversion"/>
  </si>
  <si>
    <t>TBD</t>
    <phoneticPr fontId="36" type="noConversion"/>
  </si>
  <si>
    <t>Period 
(days)</t>
    <phoneticPr fontId="18" type="noConversion"/>
  </si>
  <si>
    <t>MP&amp;L1명 및 품질1명</t>
    <phoneticPr fontId="18" type="noConversion"/>
  </si>
  <si>
    <t>일반
(주재원)</t>
    <phoneticPr fontId="18" type="noConversion"/>
  </si>
  <si>
    <t>항공권</t>
    <phoneticPr fontId="18" type="noConversion"/>
  </si>
  <si>
    <t>주재원 휴가 가족 휴가
터키 ↔ 한국 (조현민)</t>
    <phoneticPr fontId="18" type="noConversion"/>
  </si>
  <si>
    <t>주재원 휴가 가족 휴가
터키 ↔ 한국 (이수형)</t>
    <phoneticPr fontId="18" type="noConversion"/>
  </si>
  <si>
    <t>Travel Expenses</t>
    <phoneticPr fontId="3" type="noConversion"/>
  </si>
  <si>
    <t>General</t>
    <phoneticPr fontId="3" type="noConversion"/>
  </si>
  <si>
    <t>Meal</t>
    <phoneticPr fontId="3" type="noConversion"/>
  </si>
  <si>
    <t>Room Charge</t>
    <phoneticPr fontId="3" type="noConversion"/>
  </si>
  <si>
    <t>Local Transportation</t>
    <phoneticPr fontId="3" type="noConversion"/>
  </si>
  <si>
    <t>Accomodation</t>
    <phoneticPr fontId="3" type="noConversion"/>
  </si>
  <si>
    <t>S/N</t>
  </si>
  <si>
    <t>ZER Code</t>
  </si>
  <si>
    <t>MATERIAL</t>
  </si>
  <si>
    <t>Quantity</t>
  </si>
  <si>
    <t>Amount</t>
  </si>
  <si>
    <t>Total Amount</t>
  </si>
  <si>
    <t>IMC090-HC</t>
    <phoneticPr fontId="97" type="noConversion"/>
  </si>
  <si>
    <t>IMC090 VCI</t>
  </si>
  <si>
    <t>IMC100</t>
  </si>
  <si>
    <t>IMC100 VCI</t>
  </si>
  <si>
    <t>IMC120HC</t>
  </si>
  <si>
    <t>IMC120 VCI</t>
  </si>
  <si>
    <t>Bubble Layer</t>
  </si>
  <si>
    <t>50*50*5,0*130</t>
  </si>
  <si>
    <t>50*50*5,0*225</t>
  </si>
  <si>
    <t>50*50*5,0*920</t>
  </si>
  <si>
    <t>114x98</t>
  </si>
  <si>
    <t>P703 Packaging Materials</t>
    <phoneticPr fontId="3" type="noConversion"/>
  </si>
  <si>
    <t>Sorting&amp;Rework Expenses</t>
    <phoneticPr fontId="3" type="noConversion"/>
  </si>
  <si>
    <t>▣ 2026 Test (DV/PV Etc)</t>
    <phoneticPr fontId="18" type="noConversion"/>
  </si>
  <si>
    <t>Test</t>
    <phoneticPr fontId="3" type="noConversion"/>
  </si>
  <si>
    <t>Shared Car Rental Fee</t>
    <phoneticPr fontId="3" type="noConversion"/>
  </si>
  <si>
    <t>Shared Car Rental Fee</t>
    <phoneticPr fontId="3" type="noConversion"/>
  </si>
  <si>
    <t>Office Machine Rental Expenses</t>
    <phoneticPr fontId="3" type="noConversion"/>
  </si>
  <si>
    <t>Travel  Expenses</t>
    <phoneticPr fontId="3" type="noConversion"/>
  </si>
  <si>
    <t>Travel  Expenses (Total</t>
    <phoneticPr fontId="3" type="noConversion"/>
  </si>
  <si>
    <t>Yearly TOTAL</t>
    <phoneticPr fontId="3" type="noConversion"/>
  </si>
  <si>
    <t>oil</t>
    <phoneticPr fontId="3" type="noConversion"/>
  </si>
  <si>
    <t>airplane+잡비+렌트</t>
    <phoneticPr fontId="3" type="noConversion"/>
  </si>
  <si>
    <t>ss</t>
    <phoneticPr fontId="3" type="noConversion"/>
  </si>
  <si>
    <t xml:space="preserve"> KSC to KCTR </t>
    <phoneticPr fontId="3" type="noConversion"/>
  </si>
  <si>
    <t xml:space="preserve">KCTR </t>
    <phoneticPr fontId="3" type="noConversion"/>
  </si>
  <si>
    <t>FORD BEV-E1 RWD</t>
  </si>
  <si>
    <t>TZ38-14B680-BB</t>
  </si>
  <si>
    <t>TZ38-14A033-FA</t>
  </si>
  <si>
    <t>TZ38-14A033-HB</t>
  </si>
  <si>
    <t>TZ38-14A033-SA</t>
  </si>
  <si>
    <t>PZ38-14A033-HF</t>
  </si>
  <si>
    <t>TZ38-14A033-JB</t>
  </si>
  <si>
    <t>PZ38-14A033-LF</t>
  </si>
  <si>
    <t>TZ38-14A033-NA</t>
  </si>
  <si>
    <t>TZ38-14A033-PB</t>
  </si>
  <si>
    <t>TZ38-14A033-RB</t>
  </si>
  <si>
    <t>TZ38-10B694-AF</t>
  </si>
  <si>
    <t>FORD EV-V4 Parts</t>
  </si>
  <si>
    <t>PZ38-10B694-B-PIA-02</t>
  </si>
  <si>
    <t>PZ38-10B694-B-PIA-03</t>
  </si>
  <si>
    <t>PZ38-10B694-B-PIA-04</t>
  </si>
  <si>
    <t>BEE22-CT011</t>
  </si>
  <si>
    <t>TZ38-10B694-A-PIA-06</t>
  </si>
  <si>
    <t>BEE24-CP002</t>
  </si>
  <si>
    <t>TZ38-10B694-A-PIA-07</t>
  </si>
  <si>
    <t>BEE24-CP003-01</t>
  </si>
  <si>
    <t>TZ38-10B694-A-PIA-02</t>
  </si>
  <si>
    <t>BEE25-CT001-02</t>
  </si>
  <si>
    <t>TZ38-10B694-A-PIA-05</t>
  </si>
  <si>
    <t>BEE24-CP001-01</t>
  </si>
  <si>
    <t>PZ38-14B680-A-PIA-04</t>
  </si>
  <si>
    <t>BEE22-CP007</t>
  </si>
  <si>
    <t>*LME 동가격, 임률 등 매개변수가 있으나, 매입가 변경 시 매출가도 비례하게 변동되므로 고정된 가격 사용 (현재 하반기 임율 미확정으로, 상반기 임율 € 16.47/hr 사용)</t>
  </si>
  <si>
    <t>*LME 동가격, 임률 등 매개변수가 있으나, 매입가 변경 시 매출가도 비례하게 변동되므로 고정된 가격 사용 (현재 하반기 임율 미확정으로, 상반기 임율 € 13/hr 사용)</t>
  </si>
  <si>
    <t>BEV-E RWD</t>
    <phoneticPr fontId="3" type="noConversion"/>
  </si>
  <si>
    <t>BEV-E AWD</t>
    <phoneticPr fontId="3" type="noConversion"/>
  </si>
  <si>
    <t>BEV-H RESIDENCE Q.C Contract</t>
    <phoneticPr fontId="10" type="noConversion"/>
  </si>
  <si>
    <t>1000TL/per employees monthly</t>
    <phoneticPr fontId="36" type="noConversion"/>
  </si>
  <si>
    <t>Vehicle Expenses</t>
    <phoneticPr fontId="3" type="noConversion"/>
  </si>
  <si>
    <t>톨비 10,000TL/월</t>
    <phoneticPr fontId="3" type="noConversion"/>
  </si>
  <si>
    <t>`25 8,800 TL 평균</t>
    <phoneticPr fontId="3" type="noConversion"/>
  </si>
  <si>
    <t>`25 710 TL 평균</t>
    <phoneticPr fontId="3" type="noConversion"/>
  </si>
  <si>
    <t>`25 1100 TL 평균</t>
    <phoneticPr fontId="3" type="noConversion"/>
  </si>
  <si>
    <t>Toll &amp; Parking Expenses</t>
    <phoneticPr fontId="3" type="noConversion"/>
  </si>
  <si>
    <t>Repair Company Car Expenses</t>
    <phoneticPr fontId="3" type="noConversion"/>
  </si>
  <si>
    <t>동계 타이어교체</t>
    <phoneticPr fontId="3" type="noConversion"/>
  </si>
  <si>
    <t>IT service</t>
    <phoneticPr fontId="18" type="noConversion"/>
  </si>
  <si>
    <t>Translation expenses</t>
    <phoneticPr fontId="3" type="noConversion"/>
  </si>
  <si>
    <t>Cargo Expenses</t>
    <phoneticPr fontId="3" type="noConversion"/>
  </si>
  <si>
    <t>Cargo Expenses for urgent service</t>
    <phoneticPr fontId="36" type="noConversion"/>
  </si>
  <si>
    <t>Financial &amp; General Affairs Rental Expenses</t>
  </si>
  <si>
    <t>Financial &amp; General Affairs Personnel Vehicle Expenses</t>
  </si>
  <si>
    <t>Interest Income</t>
    <phoneticPr fontId="3" type="noConversion"/>
  </si>
  <si>
    <t xml:space="preserve">Loan payment </t>
    <phoneticPr fontId="3" type="noConversion"/>
  </si>
  <si>
    <t>TL</t>
    <phoneticPr fontId="3" type="noConversion"/>
  </si>
  <si>
    <t>USD</t>
    <phoneticPr fontId="3" type="noConversion"/>
  </si>
  <si>
    <t>QC 1명/PM 1명</t>
    <phoneticPr fontId="18" type="noConversion"/>
  </si>
  <si>
    <t>UK
(Dunton)</t>
    <phoneticPr fontId="18" type="noConversion"/>
  </si>
  <si>
    <t>Jul</t>
    <phoneticPr fontId="18" type="noConversion"/>
  </si>
  <si>
    <t>터키 현지 외주</t>
    <phoneticPr fontId="51" type="noConversion"/>
  </si>
  <si>
    <t>터키 현지 외주</t>
  </si>
  <si>
    <t>MAIN W/H RWD</t>
  </si>
  <si>
    <t>TZ38-10B694-DB</t>
  </si>
  <si>
    <t>PZ38-10B694-BD</t>
  </si>
  <si>
    <t>PZ38-14B680-AD</t>
  </si>
  <si>
    <t>PZ38-14A033-GD</t>
  </si>
  <si>
    <t>PZ38-14A033-KD</t>
  </si>
  <si>
    <t>PZ38-14A033-HE</t>
  </si>
  <si>
    <t>PZ38-14A033-JD</t>
  </si>
  <si>
    <t>PZ38-14A033-LE</t>
  </si>
  <si>
    <t>PZ38-14A033-NB</t>
  </si>
  <si>
    <t>PZ38-14A033-PC</t>
  </si>
  <si>
    <t>PZ38-14A033-RC</t>
  </si>
  <si>
    <t>FORD BEV-E1 AWD</t>
  </si>
  <si>
    <t>Payment Status</t>
  </si>
  <si>
    <t>Invoice Date</t>
  </si>
  <si>
    <t>Invoice Number</t>
  </si>
  <si>
    <t>Remark</t>
  </si>
  <si>
    <t>Not Paid</t>
  </si>
  <si>
    <t>KCTR202412-RY</t>
  </si>
  <si>
    <t>KSC2503-KCTR001</t>
  </si>
  <si>
    <t>KSC2503-KCTR002</t>
  </si>
  <si>
    <t>Pre Dcv Tooling</t>
  </si>
  <si>
    <t>KCTR202506-RY</t>
  </si>
  <si>
    <t>KCSC20250703-01</t>
  </si>
  <si>
    <t>IT/Maintenance for first half year</t>
  </si>
  <si>
    <t xml:space="preserve">KSC20251119-01 </t>
  </si>
  <si>
    <t>Business Trip 2022-2025</t>
  </si>
  <si>
    <t>Jan. `26</t>
    <phoneticPr fontId="3" type="noConversion"/>
  </si>
  <si>
    <t>Jun. `26</t>
    <phoneticPr fontId="3" type="noConversion"/>
  </si>
  <si>
    <t>Nov. `26</t>
    <phoneticPr fontId="3" type="noConversion"/>
  </si>
  <si>
    <t>Sep. `26</t>
    <phoneticPr fontId="3" type="noConversion"/>
  </si>
  <si>
    <t>Payment Plan Date</t>
    <phoneticPr fontId="3" type="noConversion"/>
  </si>
  <si>
    <t>Pay/Receive</t>
    <phoneticPr fontId="3" type="noConversion"/>
  </si>
  <si>
    <t>Pay</t>
    <phoneticPr fontId="3" type="noConversion"/>
  </si>
  <si>
    <t>AMOUNT (TL)</t>
    <phoneticPr fontId="3" type="noConversion"/>
  </si>
  <si>
    <t>AMOUNT (USD)</t>
    <phoneticPr fontId="3" type="noConversion"/>
  </si>
  <si>
    <t>Sales</t>
  </si>
  <si>
    <t>▣ `25 Interest Income monthly</t>
  </si>
  <si>
    <t>▣ `26 Interest Income monthly</t>
  </si>
  <si>
    <t xml:space="preserve">Interest rate </t>
  </si>
  <si>
    <t>TCMB Rate</t>
  </si>
  <si>
    <t>Description</t>
  </si>
  <si>
    <t>1st Loan</t>
  </si>
  <si>
    <t>Extension Loan</t>
  </si>
  <si>
    <t>2nd Loan</t>
  </si>
  <si>
    <t>Date</t>
  </si>
  <si>
    <t>Buying</t>
  </si>
  <si>
    <t>Loan Start Date</t>
  </si>
  <si>
    <t>Loan End Date</t>
  </si>
  <si>
    <t>Loan Amount</t>
  </si>
  <si>
    <t>Interest Rate</t>
  </si>
  <si>
    <t>Annual Interest Amount</t>
  </si>
  <si>
    <t xml:space="preserve">Foreign Exchange Loss </t>
  </si>
  <si>
    <t>09.2025</t>
  </si>
  <si>
    <t>12.2025</t>
  </si>
  <si>
    <t>03.2026</t>
  </si>
  <si>
    <t>06.2026</t>
  </si>
  <si>
    <t>09.2026</t>
  </si>
  <si>
    <t>12.2026</t>
  </si>
  <si>
    <t>Total TL 2026</t>
  </si>
  <si>
    <t>Loan No</t>
  </si>
  <si>
    <t>환산손실</t>
  </si>
  <si>
    <t>Loan</t>
  </si>
  <si>
    <t>Foreign Exchange Loss</t>
  </si>
  <si>
    <t>1st</t>
  </si>
  <si>
    <t>2nd</t>
  </si>
  <si>
    <t>▣ `26 Loan Exchange Losses</t>
  </si>
  <si>
    <t>Total</t>
    <phoneticPr fontId="3" type="noConversion"/>
  </si>
  <si>
    <t>Shipping Expenses 390 TL., Handling Service 3,900 TL one time, EV-V4 (Part Export `26.08~)</t>
    <phoneticPr fontId="10" type="noConversion"/>
  </si>
  <si>
    <t>Security X-Ray, Customs, Declaration, Certificate of Origin, EV-V4 (Part Export `26.08~)</t>
    <phoneticPr fontId="3" type="noConversion"/>
  </si>
  <si>
    <t>EV-V4 (Part Export `26.08~)</t>
    <phoneticPr fontId="3" type="noConversion"/>
  </si>
  <si>
    <t>Ford Overseas Product Shipping</t>
    <phoneticPr fontId="10" type="noConversion"/>
  </si>
  <si>
    <t>Urgent delivery to supplier</t>
    <phoneticPr fontId="3" type="noConversion"/>
  </si>
  <si>
    <t>Urgent delivery to supplier KSC / KSCE</t>
    <phoneticPr fontId="3" type="noConversion"/>
  </si>
  <si>
    <t>BEV-M Rent/Issue Fee Box payment</t>
    <phoneticPr fontId="10" type="noConversion"/>
  </si>
  <si>
    <t>PHEV-E (P703) 101,620TL/month</t>
    <phoneticPr fontId="3" type="noConversion"/>
  </si>
  <si>
    <t>QC sorting Payment</t>
    <phoneticPr fontId="3" type="noConversion"/>
  </si>
  <si>
    <t xml:space="preserve">Health Insurance </t>
    <phoneticPr fontId="36" type="noConversion"/>
  </si>
  <si>
    <t>health insurance</t>
    <phoneticPr fontId="36" type="noConversion"/>
  </si>
  <si>
    <t>Ⅶ. NON-OPERATING EXPENSES</t>
    <phoneticPr fontId="3" type="noConversion"/>
  </si>
  <si>
    <t>HRSI (KOLAY İK)</t>
  </si>
  <si>
    <t>Logo system update</t>
    <phoneticPr fontId="36" type="noConversion"/>
  </si>
  <si>
    <t>Office Supplies</t>
    <phoneticPr fontId="3" type="noConversion"/>
  </si>
  <si>
    <t>Other Ordinary Expenses and Losses(-)</t>
    <phoneticPr fontId="3" type="noConversion"/>
  </si>
  <si>
    <t>주재원</t>
    <phoneticPr fontId="70" type="noConversion"/>
  </si>
  <si>
    <t xml:space="preserve">Accounting-Affair Personel </t>
    <phoneticPr fontId="70" type="noConversion"/>
  </si>
  <si>
    <t>Manufacturing Personel</t>
  </si>
  <si>
    <t>Executive employees</t>
    <phoneticPr fontId="70" type="noConversion"/>
  </si>
  <si>
    <t>employees</t>
    <phoneticPr fontId="70" type="noConversion"/>
  </si>
  <si>
    <r>
      <t>Ça</t>
    </r>
    <r>
      <rPr>
        <sz val="8"/>
        <rFont val="Segoe UI"/>
        <family val="3"/>
        <charset val="238"/>
      </rPr>
      <t>ğ</t>
    </r>
    <r>
      <rPr>
        <sz val="8"/>
        <rFont val="맑은 고딕"/>
        <family val="3"/>
        <charset val="129"/>
        <scheme val="minor"/>
      </rPr>
      <t>atay Çiçek,</t>
    </r>
    <phoneticPr fontId="70" type="noConversion"/>
  </si>
  <si>
    <r>
      <t xml:space="preserve">Sonbahar </t>
    </r>
    <r>
      <rPr>
        <sz val="8"/>
        <rFont val="Segoe UI"/>
        <family val="3"/>
        <charset val="238"/>
      </rPr>
      <t>İ</t>
    </r>
    <r>
      <rPr>
        <sz val="8"/>
        <rFont val="맑은 고딕"/>
        <family val="3"/>
        <charset val="129"/>
        <scheme val="minor"/>
      </rPr>
      <t>lbey,</t>
    </r>
    <phoneticPr fontId="70" type="noConversion"/>
  </si>
  <si>
    <t xml:space="preserve">FORD PHEV-E </t>
    <phoneticPr fontId="3" type="noConversion"/>
  </si>
  <si>
    <t>Ford Otosan</t>
    <phoneticPr fontId="3" type="noConversion"/>
  </si>
  <si>
    <t>S/Africa</t>
  </si>
  <si>
    <t>Warehouse charges 5,213 TL one time, EV-V4 (Part Export `26.08~)</t>
    <phoneticPr fontId="10" type="noConversion"/>
  </si>
  <si>
    <t>30% Increased</t>
    <phoneticPr fontId="3" type="noConversion"/>
  </si>
  <si>
    <t>30% Increase</t>
    <phoneticPr fontId="3" type="noConversion"/>
  </si>
  <si>
    <t>-</t>
    <phoneticPr fontId="3" type="noConversion"/>
  </si>
  <si>
    <t>Ford-KCTR direct delivery manage `25 performance</t>
    <phoneticPr fontId="10" type="noConversion"/>
  </si>
  <si>
    <t>▣ `25 CHEP Box rental and issue payment for BEV-M</t>
    <phoneticPr fontId="3" type="noConversion"/>
  </si>
  <si>
    <t>▣ `26 CHEP Box rental and issue payment for BEV-M</t>
    <phoneticPr fontId="3" type="noConversion"/>
  </si>
  <si>
    <t>25년 대비 30% 상승</t>
    <phoneticPr fontId="3" type="noConversion"/>
  </si>
  <si>
    <t>Purchaing</t>
    <phoneticPr fontId="18" type="noConversion"/>
  </si>
  <si>
    <t>Purchaing</t>
    <phoneticPr fontId="70" type="noConversion"/>
  </si>
  <si>
    <t>Purchasing</t>
    <phoneticPr fontId="18" type="noConversion"/>
  </si>
  <si>
    <t>주행거리 초과로 변경</t>
    <phoneticPr fontId="3" type="noConversion"/>
  </si>
  <si>
    <t>25.01/01~27.12/31</t>
    <phoneticPr fontId="3" type="noConversion"/>
  </si>
  <si>
    <t>Rental car cost (Park, 30,000TL)</t>
    <phoneticPr fontId="3" type="noConversion"/>
  </si>
  <si>
    <t>KCTR Warehouse (494,500TL)</t>
    <phoneticPr fontId="10" type="noConversion"/>
  </si>
  <si>
    <t xml:space="preserve">Rental car cost (Company, 27,000TL) </t>
    <phoneticPr fontId="10" type="noConversion"/>
  </si>
  <si>
    <t>Jan</t>
    <phoneticPr fontId="18" type="noConversion"/>
  </si>
  <si>
    <t>▣ Tax Accounting &amp; Audit (VDY)</t>
    <phoneticPr fontId="3" type="noConversion"/>
  </si>
  <si>
    <t>Cagtay</t>
    <phoneticPr fontId="3" type="noConversion"/>
  </si>
  <si>
    <t>Sonbahar</t>
    <phoneticPr fontId="3" type="noConversion"/>
  </si>
  <si>
    <t>EV-V4 10월 양산반영(수익율 2% 저하요인)</t>
    <phoneticPr fontId="3" type="noConversion"/>
  </si>
  <si>
    <t>Project DV/PV Test</t>
    <phoneticPr fontId="10" type="noConversion"/>
  </si>
  <si>
    <t>Total</t>
    <phoneticPr fontId="3" type="noConversion"/>
  </si>
  <si>
    <t>`24년 ROYALTY</t>
    <phoneticPr fontId="3" type="noConversion"/>
  </si>
  <si>
    <t>`25년 상반기 ROYALTY</t>
    <phoneticPr fontId="3" type="noConversion"/>
  </si>
  <si>
    <t>BEV-M DCV Tooling</t>
    <phoneticPr fontId="3" type="noConversion"/>
  </si>
  <si>
    <t>Executive Expenses</t>
    <phoneticPr fontId="3" type="noConversion"/>
  </si>
  <si>
    <t>26.07 Cost division Executive (Esti.)</t>
    <phoneticPr fontId="10" type="noConversion"/>
  </si>
  <si>
    <t>Already applied to shipping expense</t>
    <phoneticPr fontId="3" type="noConversion"/>
  </si>
  <si>
    <t>Lunch 345 TL</t>
    <phoneticPr fontId="10" type="noConversion"/>
  </si>
  <si>
    <t>Shuttle 3,600 TL, Lee school payment(129,000TL*2)</t>
    <phoneticPr fontId="10" type="noConversion"/>
  </si>
  <si>
    <t>33% Increased</t>
    <phoneticPr fontId="3" type="noConversion"/>
  </si>
  <si>
    <t>New Employee Cost (Jan, 26), Finance (Feb, 26)</t>
    <phoneticPr fontId="10" type="noConversion"/>
  </si>
  <si>
    <t>New Employee MP&amp;L 2 people (Jul, 26)</t>
    <phoneticPr fontId="10" type="noConversion"/>
  </si>
  <si>
    <t>Burthday (11 Employee), Ramadan Bonus (6,000TL)</t>
    <phoneticPr fontId="3" type="noConversion"/>
  </si>
  <si>
    <t>Shuttle 3,600 TL, (126TL -&gt; 165TL increased)</t>
    <phoneticPr fontId="10" type="noConversion"/>
  </si>
  <si>
    <t xml:space="preserve">Lunch 345 TL _total 8 employee, new 2 employee (264TL -&gt; 345TL) </t>
    <phoneticPr fontId="10" type="noConversion"/>
  </si>
  <si>
    <t xml:space="preserve">Lunch 345 TL _total 8 employee, new 3 employee (264TL -&gt; 345TL) </t>
    <phoneticPr fontId="10" type="noConversion"/>
  </si>
  <si>
    <t>Joe (34,000TL) Lee (4,2500TL)</t>
    <phoneticPr fontId="10" type="noConversion"/>
  </si>
  <si>
    <t>Domestic trip Meal 700TL , `25 monthly average 13,400TL</t>
    <phoneticPr fontId="10" type="noConversion"/>
  </si>
  <si>
    <t>apply plan</t>
    <phoneticPr fontId="3" type="noConversion"/>
  </si>
  <si>
    <t>Domestic trip Hotel 3,800TL (QC/P,3 times/Mon), others (1times/2Mon), `25 monthly average 33,000TL</t>
    <phoneticPr fontId="10" type="noConversion"/>
  </si>
  <si>
    <t xml:space="preserve">Domestic trip Oil 2,000TL (1times x 4weeks) </t>
    <phoneticPr fontId="10" type="noConversion"/>
  </si>
  <si>
    <t>KSC→KCTR (6 times), KCTR→외국(9 times),  Executive 2 times/year</t>
    <phoneticPr fontId="10" type="noConversion"/>
  </si>
  <si>
    <t>KCTR Dinner, Team dinner, Customer dinner (25,000TL)</t>
    <phoneticPr fontId="10" type="noConversion"/>
  </si>
  <si>
    <t xml:space="preserve"> 1000TL/per employees monthly</t>
    <phoneticPr fontId="3" type="noConversion"/>
  </si>
  <si>
    <t>KCTR warehouse electricity and water</t>
    <phoneticPr fontId="3" type="noConversion"/>
  </si>
  <si>
    <t>Office water : 1000TL/per employees monthly, Cleaning tool, Emergency pills</t>
    <phoneticPr fontId="3" type="noConversion"/>
  </si>
  <si>
    <t>Applied inflation</t>
    <phoneticPr fontId="3" type="noConversion"/>
  </si>
  <si>
    <t>Car oil_Joe/Lee  (1times 2,000TL x 2time/W x 4W)</t>
    <phoneticPr fontId="10" type="noConversion"/>
  </si>
  <si>
    <t>Company car oil  (1time 1,500TL x 2times/w x 4W)</t>
    <phoneticPr fontId="10" type="noConversion"/>
  </si>
  <si>
    <t>Korea extension Loan Interest Expenses</t>
    <phoneticPr fontId="3" type="noConversion"/>
  </si>
  <si>
    <t xml:space="preserve">Exchange loss 2.0%  </t>
    <phoneticPr fontId="10" type="noConversion"/>
  </si>
  <si>
    <t>Interest rate of first loan '26.10 (1,500,000 USD)</t>
    <phoneticPr fontId="10" type="noConversion"/>
  </si>
  <si>
    <t>Bank interest rate of 1.18% applied</t>
    <phoneticPr fontId="3" type="noConversion"/>
  </si>
  <si>
    <t>Job Posting (8.000TL)</t>
    <phoneticPr fontId="3" type="noConversion"/>
  </si>
  <si>
    <t>number of trainees: 24, monthly average of 30,000TL applied</t>
    <phoneticPr fontId="10" type="noConversion"/>
  </si>
  <si>
    <t xml:space="preserve">Workshop (12.3W) </t>
    <phoneticPr fontId="3" type="noConversion"/>
  </si>
  <si>
    <t>Truk telekom (Office Internet)</t>
    <phoneticPr fontId="10" type="noConversion"/>
  </si>
  <si>
    <t>Truk telekom (Company phone 4ea)</t>
    <phoneticPr fontId="10" type="noConversion"/>
  </si>
  <si>
    <t>hi-Way toll fee/Parking  (Park, 1,500TL)</t>
    <phoneticPr fontId="10" type="noConversion"/>
  </si>
  <si>
    <t>0.05% applied to 26 year sales</t>
    <phoneticPr fontId="10" type="noConversion"/>
  </si>
  <si>
    <t>Work Safety Monthly fee</t>
    <phoneticPr fontId="10" type="noConversion"/>
  </si>
  <si>
    <t>Quarterly 6,000 TL</t>
    <phoneticPr fontId="3" type="noConversion"/>
  </si>
  <si>
    <t>`26 accounting firm VDY</t>
    <phoneticPr fontId="10" type="noConversion"/>
  </si>
  <si>
    <t xml:space="preserve">Local legal advice in Türkiye (1time/Month, 35,512 TL), `25 monthly average 26,904 TL </t>
    <phoneticPr fontId="10" type="noConversion"/>
  </si>
  <si>
    <t>Royalty</t>
    <phoneticPr fontId="3" type="noConversion"/>
  </si>
  <si>
    <t>▣ 2026 Royalty + Pending payment</t>
    <phoneticPr fontId="18" type="noConversion"/>
  </si>
  <si>
    <t>Foreign Exchange Loss $</t>
  </si>
  <si>
    <t>국내출장시 식대 700TL , `25년 월평균 13,400TL</t>
    <phoneticPr fontId="3" type="noConversion"/>
  </si>
  <si>
    <t>국내출장시 숙소 3,800TL (QC/P,3회/월),그외 (1회/2달), `25년 월평균 33,000TL</t>
    <phoneticPr fontId="3" type="noConversion"/>
  </si>
  <si>
    <t>국내출장시 유류대 2,000TL (1회 주유 x 4주)`25년 월평균 0TL</t>
    <phoneticPr fontId="3" type="noConversion"/>
  </si>
  <si>
    <t>KSC→KCTR (6회), KCTR→외국(8회), 주재원 한국휴가 1회/년</t>
    <phoneticPr fontId="3" type="noConversion"/>
  </si>
  <si>
    <t>Dnit</t>
    <phoneticPr fontId="3" type="noConversion"/>
  </si>
  <si>
    <t>▣ `26년 PHEV-E (P703) Packaging Materials list</t>
    <phoneticPr fontId="3" type="noConversion"/>
  </si>
  <si>
    <r>
      <rPr>
        <b/>
        <sz val="10"/>
        <color theme="1"/>
        <rFont val="맑은 고딕"/>
        <family val="2"/>
        <scheme val="minor"/>
      </rPr>
      <t>€</t>
    </r>
    <phoneticPr fontId="3" type="noConversion"/>
  </si>
  <si>
    <t>25년 대비 30% 상승</t>
    <phoneticPr fontId="3" type="noConversion"/>
  </si>
  <si>
    <r>
      <t xml:space="preserve">Office </t>
    </r>
    <r>
      <rPr>
        <sz val="10"/>
        <color theme="1"/>
        <rFont val="Calibri"/>
        <family val="2"/>
      </rPr>
      <t>İ</t>
    </r>
    <r>
      <rPr>
        <sz val="10"/>
        <color theme="1"/>
        <rFont val="맑은 고딕"/>
        <family val="3"/>
        <charset val="129"/>
        <scheme val="minor"/>
      </rPr>
      <t>nternet</t>
    </r>
    <phoneticPr fontId="3" type="noConversion"/>
  </si>
  <si>
    <t>KCTR 외부 이해관계자 (포드, 협력사, 기타)</t>
    <phoneticPr fontId="36" type="noConversion"/>
  </si>
  <si>
    <r>
      <t>ÇA</t>
    </r>
    <r>
      <rPr>
        <sz val="10"/>
        <color theme="1"/>
        <rFont val="Segoe UI"/>
        <family val="2"/>
        <charset val="238"/>
      </rPr>
      <t>Ğ</t>
    </r>
    <r>
      <rPr>
        <sz val="10"/>
        <color theme="1"/>
        <rFont val="맑은 고딕"/>
        <family val="2"/>
        <scheme val="minor"/>
      </rPr>
      <t>LA</t>
    </r>
    <phoneticPr fontId="18" type="noConversion"/>
  </si>
  <si>
    <r>
      <t>MER</t>
    </r>
    <r>
      <rPr>
        <sz val="10"/>
        <color theme="1"/>
        <rFont val="Segoe UI"/>
        <family val="2"/>
        <charset val="238"/>
      </rPr>
      <t>İ</t>
    </r>
    <r>
      <rPr>
        <sz val="10"/>
        <color theme="1"/>
        <rFont val="맑은 고딕"/>
        <family val="2"/>
        <scheme val="minor"/>
      </rPr>
      <t>Ç</t>
    </r>
    <phoneticPr fontId="18" type="noConversion"/>
  </si>
  <si>
    <t>Remark</t>
    <phoneticPr fontId="36" type="noConversion"/>
  </si>
  <si>
    <r>
      <t xml:space="preserve">HRSI (KOLAY </t>
    </r>
    <r>
      <rPr>
        <sz val="10"/>
        <color theme="1"/>
        <rFont val="Calibri"/>
        <family val="2"/>
      </rPr>
      <t>İ</t>
    </r>
    <r>
      <rPr>
        <sz val="10"/>
        <color theme="1"/>
        <rFont val="맑은 고딕"/>
        <family val="3"/>
        <charset val="129"/>
        <scheme val="minor"/>
      </rPr>
      <t>K)</t>
    </r>
    <phoneticPr fontId="36" type="noConversion"/>
  </si>
  <si>
    <t>Total</t>
    <phoneticPr fontId="36" type="noConversion"/>
  </si>
  <si>
    <t>Hatice</t>
    <phoneticPr fontId="70" type="noConversion"/>
  </si>
  <si>
    <t>Royalty (KSC)</t>
    <phoneticPr fontId="3" type="noConversion"/>
  </si>
  <si>
    <t>IT system/Maintenance</t>
    <phoneticPr fontId="3" type="noConversion"/>
  </si>
  <si>
    <t>(영업팀)</t>
    <phoneticPr fontId="3" type="noConversion"/>
  </si>
  <si>
    <t>연결매출 연간 수량</t>
    <phoneticPr fontId="3" type="noConversion"/>
  </si>
  <si>
    <t>차이</t>
    <phoneticPr fontId="3" type="noConversion"/>
  </si>
  <si>
    <t>연결 매출계획 미반영</t>
    <phoneticPr fontId="3" type="noConversion"/>
  </si>
  <si>
    <t>USD</t>
    <phoneticPr fontId="3" type="noConversion"/>
  </si>
  <si>
    <t>판가의 95% 세르비아 수립</t>
    <phoneticPr fontId="3" type="noConversion"/>
  </si>
  <si>
    <t xml:space="preserve">결산서 매입가 </t>
    <phoneticPr fontId="3" type="noConversion"/>
  </si>
  <si>
    <t>마스터 단가 11월</t>
    <phoneticPr fontId="3" type="noConversion"/>
  </si>
  <si>
    <t>연결매출 판가</t>
    <phoneticPr fontId="3" type="noConversion"/>
  </si>
  <si>
    <t>sum</t>
    <phoneticPr fontId="3" type="noConversion"/>
  </si>
  <si>
    <t>2H</t>
  </si>
  <si>
    <t>IT system</t>
  </si>
  <si>
    <t>Maintenance</t>
  </si>
  <si>
    <t>1H</t>
    <phoneticPr fontId="3" type="noConversion"/>
  </si>
  <si>
    <t>1H+2H</t>
    <phoneticPr fontId="3" type="noConversion"/>
  </si>
  <si>
    <t>5%인상 추정치</t>
    <phoneticPr fontId="3" type="noConversion"/>
  </si>
  <si>
    <t>Code</t>
  </si>
  <si>
    <t>Depreciation Period (year)</t>
  </si>
  <si>
    <t>Purchasing Date</t>
  </si>
  <si>
    <t>Ending Date</t>
  </si>
  <si>
    <t>Total Quarter</t>
  </si>
  <si>
    <t xml:space="preserve">End Of 2025 quarter </t>
  </si>
  <si>
    <t>Remaining Quarter</t>
  </si>
  <si>
    <t>2026 Quarter</t>
  </si>
  <si>
    <t>Purchasing Value</t>
  </si>
  <si>
    <t>Depreciatiın Period Amount</t>
  </si>
  <si>
    <t>Accumulated Depreciation</t>
  </si>
  <si>
    <t>31.12.2025 Value</t>
  </si>
  <si>
    <t>2026 Amortisman Amount</t>
  </si>
  <si>
    <t>254.01</t>
  </si>
  <si>
    <t>ELEKTRİKLİ FORKLİFT</t>
  </si>
  <si>
    <t>255.01.001</t>
  </si>
  <si>
    <t>SANTANA MASA</t>
  </si>
  <si>
    <t>255.01.002</t>
  </si>
  <si>
    <t>2 ADET SANTANA DOLAP</t>
  </si>
  <si>
    <t>255.01.003</t>
  </si>
  <si>
    <t>LENOVO E15 16 GB 512 GB 15.6 FD</t>
  </si>
  <si>
    <t>255.01.004</t>
  </si>
  <si>
    <t>HP SMARTTANK 750 YAZICI CN:1BG3727Z</t>
  </si>
  <si>
    <t>255.01.005</t>
  </si>
  <si>
    <t>UHD-LCD TV 60-74 EKRAN</t>
  </si>
  <si>
    <t>255.01.006</t>
  </si>
  <si>
    <t>DERİN DONDURUCU</t>
  </si>
  <si>
    <t>255.01.007</t>
  </si>
  <si>
    <t>SAĞ SOL TAM KAPAK O.AÇIK DOLAP</t>
  </si>
  <si>
    <t>255.01.008</t>
  </si>
  <si>
    <t>MİNA DOLAP</t>
  </si>
  <si>
    <t>255.01.009</t>
  </si>
  <si>
    <t>LENOVO E15 20TD0045TX 16 GB 512</t>
  </si>
  <si>
    <t>255.01.010</t>
  </si>
  <si>
    <t>SAMSUNG GALAXY A23 128 GB</t>
  </si>
  <si>
    <t>255.01.011</t>
  </si>
  <si>
    <t>APPLE IPHONE 13 256 GB</t>
  </si>
  <si>
    <t>255.01.012</t>
  </si>
  <si>
    <t>LENOVO E15 İ5 16GB</t>
  </si>
  <si>
    <t>255.01.013</t>
  </si>
  <si>
    <t>LS22F350FHRXUF 21.5 60 HZ MONİTÖR</t>
  </si>
  <si>
    <t>255.01.014</t>
  </si>
  <si>
    <t>255.01.015</t>
  </si>
  <si>
    <t>255.01.016</t>
  </si>
  <si>
    <t>255.01.017</t>
  </si>
  <si>
    <t>255.01.018</t>
  </si>
  <si>
    <t>KOMPOZİT TABELA</t>
  </si>
  <si>
    <t>255.01.020</t>
  </si>
  <si>
    <t>POINT MOBILE PM550 ANDROID EL TERMİNALİ</t>
  </si>
  <si>
    <t>255.01.021</t>
  </si>
  <si>
    <t>LENOVO THINKPAD E15 G2 20TD</t>
  </si>
  <si>
    <t>255.01.022</t>
  </si>
  <si>
    <t>SAMSUNG LS22F350FHRXUF 5MS HDMI VGA</t>
  </si>
  <si>
    <t>255.01.023</t>
  </si>
  <si>
    <t>LENOVO V15 82TT008PTX 15.6 DOS</t>
  </si>
  <si>
    <t>255.01.024</t>
  </si>
  <si>
    <t>LENOVO THİNKPAD E15 G4 İ5 512 SSD 15.6 LAPTOP</t>
  </si>
  <si>
    <t>255.01.025</t>
  </si>
  <si>
    <t>PORTATİF RAF SİSTEMİ</t>
  </si>
  <si>
    <t>255.01.026</t>
  </si>
  <si>
    <t>HİDROLİK TRANSPALET</t>
  </si>
  <si>
    <t>255.01.027</t>
  </si>
  <si>
    <t>RAF SİSTEMİ</t>
  </si>
  <si>
    <t>255.01.028</t>
  </si>
  <si>
    <t>EPSON ECOTANK L3251 FOTOKOBİ-TARAYICI YAZICI</t>
  </si>
  <si>
    <t>255.01.029</t>
  </si>
  <si>
    <t>LENOVO V15 G4 İ5-12500H BİLGİSAYAR</t>
  </si>
  <si>
    <t>255.01.030</t>
  </si>
  <si>
    <t>255.01.031</t>
  </si>
  <si>
    <t>PUNTO EKO YÖNETİCİ OFİS KOLTUĞU</t>
  </si>
  <si>
    <t>255.01.032</t>
  </si>
  <si>
    <t>ÇEMBER MAKİNESİ</t>
  </si>
  <si>
    <t>255.01.033</t>
  </si>
  <si>
    <t>SAMSUNG GALAXY A55 8/256 GB AKILLI TELEFON</t>
  </si>
  <si>
    <t>255.01.034</t>
  </si>
  <si>
    <t>LENOVO V15 GEN4 İ5 13420H 8GB 512G SSD 15.6 W11P</t>
  </si>
  <si>
    <t>255.01.035</t>
  </si>
  <si>
    <t>EP4441/50 WEU EEU ESPRESSO PHI BLACK</t>
  </si>
  <si>
    <t>255.01.036</t>
  </si>
  <si>
    <t>ACER PROJEKSİYON CİHAZI</t>
  </si>
  <si>
    <t>255.01.037</t>
  </si>
  <si>
    <t>ENOVO V15 GEN4 İ5 13420H 8GB 512G SSD 15.6 W11P</t>
  </si>
  <si>
    <t>255.01.038</t>
  </si>
  <si>
    <t>YÖNETİCİ MAKAM MÜDÜR KOLTUĞU</t>
  </si>
  <si>
    <t>255.01.039</t>
  </si>
  <si>
    <t>160X70 MASA 30 MM</t>
  </si>
  <si>
    <t>255.01.040</t>
  </si>
  <si>
    <t>Epson Ecotank L6490 Yazıcı Tarayıcı Fotokopi Fax</t>
  </si>
  <si>
    <t>255.01.041</t>
  </si>
  <si>
    <t>TOPLANTI MASASI - OVAL 220X110 CM.36 MM. SÜMENLİ</t>
  </si>
  <si>
    <t>255.01.042</t>
  </si>
  <si>
    <t>SCREEN - BLACOUT STOR PERDE</t>
  </si>
  <si>
    <t>255.01.043</t>
  </si>
  <si>
    <t>ÇALIŞMA SANDALYESİ</t>
  </si>
  <si>
    <t>255.01.044</t>
  </si>
  <si>
    <t>LENOVO LENOVO IDEAPAD 3 82RK018HTX İ3 1215U 15.6`</t>
  </si>
  <si>
    <t>255.01.045</t>
  </si>
  <si>
    <t>LENOVA V15 G3</t>
  </si>
  <si>
    <t>255.01.046</t>
  </si>
  <si>
    <t>160*70 MASA 30MM</t>
  </si>
  <si>
    <t>255.01.047</t>
  </si>
  <si>
    <t>6MT BAYRAK DİREĞİ</t>
  </si>
  <si>
    <t>255.01.048</t>
  </si>
  <si>
    <t>FLORA DOĞA INVERTER 124 A++</t>
  </si>
  <si>
    <t>255.01.049</t>
  </si>
  <si>
    <t>FLORA DOĞA INVERTER 184 A++</t>
  </si>
  <si>
    <t>255.01.050</t>
  </si>
  <si>
    <t>FLORA DOĞA INVERTER 244 A++</t>
  </si>
  <si>
    <t>255.01.051</t>
  </si>
  <si>
    <t>EUROBİN KONTEYNER  KASA-KAPAK</t>
  </si>
  <si>
    <t>255.01.055</t>
  </si>
  <si>
    <t>ESSENTİAL MONİTÖR</t>
  </si>
  <si>
    <t>255.01.056</t>
  </si>
  <si>
    <t>HFAY AHŞAP</t>
  </si>
  <si>
    <t>255.01.057</t>
  </si>
  <si>
    <t>770LT GALVANZİLİ METAL ÇÖP KONTEYNERİ</t>
  </si>
  <si>
    <t>255.01.058</t>
  </si>
  <si>
    <t>YEMEK MASASI SANDALYESİ</t>
  </si>
  <si>
    <t>255.01.059</t>
  </si>
  <si>
    <t>LENOVA V15 LAP INTEL CORE BİLGİSAYAR</t>
  </si>
  <si>
    <t>255.01.060</t>
  </si>
  <si>
    <t>PERKOTEK P20 SET PARWAKİTİ</t>
  </si>
  <si>
    <t>255.01.061</t>
  </si>
  <si>
    <t>TİANDY TC-C32WS BULLET KAMERA</t>
  </si>
  <si>
    <t>255.01.062</t>
  </si>
  <si>
    <t>TİANDY TC-C34WS BULLET KAMERA</t>
  </si>
  <si>
    <t>255.01.063</t>
  </si>
  <si>
    <t>TİANDY TC-C32HS DOME KAMERA</t>
  </si>
  <si>
    <t>255.01.064</t>
  </si>
  <si>
    <t>TİANDY TC- R3240 SPEC KAYIT CİHAZI</t>
  </si>
  <si>
    <t>255.01.065</t>
  </si>
  <si>
    <t>10 TB WD 3.5 PURPLE SATA3 GÜVENLİK SİSTEMİ</t>
  </si>
  <si>
    <t>255.01.066</t>
  </si>
  <si>
    <t>SEDUNA EAMES SANDALYE BEYAZ</t>
  </si>
  <si>
    <t>255.01.067</t>
  </si>
  <si>
    <t>HP 4WF66A SMART TANK 790 RENKLİ YAZICI</t>
  </si>
  <si>
    <t>255.01.068</t>
  </si>
  <si>
    <t>OFİSCİTY PETEK FİLELİ ŞEF OFİS ÇALIŞMA KOLTUĞU</t>
  </si>
  <si>
    <t>255.01.069</t>
  </si>
  <si>
    <t>YAZI TAHTASI 120*180</t>
  </si>
  <si>
    <t>255.01.070</t>
  </si>
  <si>
    <t>YAZI TAHTASI 120*140</t>
  </si>
  <si>
    <t>255.01.071</t>
  </si>
  <si>
    <t>OVAL MDF MASA</t>
  </si>
  <si>
    <t>255.01.072</t>
  </si>
  <si>
    <t>OTOPARK STOPERİ İSTANBUL ARAÇ DURDURUCU SONLANDIRM</t>
  </si>
  <si>
    <t>255.01.073</t>
  </si>
  <si>
    <t>TOPLANTI MASASI U TİPİ</t>
  </si>
  <si>
    <t>255.01.074</t>
  </si>
  <si>
    <t>BAŞAK ÇELİK DOSYA DOLAP 4 RAF 5 GÖZLÜ</t>
  </si>
  <si>
    <t>255.01.075</t>
  </si>
  <si>
    <t>SAMSUNG GDOXY A25 TELEFON</t>
  </si>
  <si>
    <t>255.01.076</t>
  </si>
  <si>
    <t>HAVIT PJ207 PRO PRIME SMART PROJEKSİYON</t>
  </si>
  <si>
    <t>255.01.077</t>
  </si>
  <si>
    <t>PLEKSİ DUVAR PANOSU</t>
  </si>
  <si>
    <t>255.01.078</t>
  </si>
  <si>
    <t>TOPLANTI MASASI 200*100 CM</t>
  </si>
  <si>
    <t>255.01.088</t>
  </si>
  <si>
    <t>140 EKRAN UYDU ALICILI 4K ULTRA HD</t>
  </si>
  <si>
    <t>255.01.089</t>
  </si>
  <si>
    <t>LENOVO V15 G4 IRU INTEL CORE İ7-1355U</t>
  </si>
  <si>
    <t>255.01.090</t>
  </si>
  <si>
    <t>ONVO 190 EKRAN UYDU ALICILI ULTRA HD GOOGLE SMART</t>
  </si>
  <si>
    <t>255.01.61</t>
  </si>
  <si>
    <t>260.01.001</t>
  </si>
  <si>
    <t>TIGER WINGS OBJECTS +2 KULLANICI</t>
  </si>
  <si>
    <t>260.01.002</t>
  </si>
  <si>
    <t>SQL SERVER LİSANS</t>
  </si>
  <si>
    <t>260.01.003</t>
  </si>
  <si>
    <t>CLOUD SUNUCU HİZMETİ</t>
  </si>
  <si>
    <t>260.01.004</t>
  </si>
  <si>
    <t>FG-80F-BDL FORTİGARE</t>
  </si>
  <si>
    <t>260.01.005</t>
  </si>
  <si>
    <t>ENTEGREX</t>
  </si>
  <si>
    <t>260.01.006</t>
  </si>
  <si>
    <t>260.01.007</t>
  </si>
  <si>
    <t>260.01.008</t>
  </si>
  <si>
    <t>260.01.009</t>
  </si>
  <si>
    <t>260.01.010</t>
  </si>
  <si>
    <t>TİGER WİNGS LEM</t>
  </si>
  <si>
    <t>260.01.011</t>
  </si>
  <si>
    <t>SQL SERVER LİSANS UZATMA EK MALİYET</t>
  </si>
  <si>
    <t>264.01.001</t>
  </si>
  <si>
    <t>ALUMİNYUM DOĞRAMA-CAM</t>
  </si>
  <si>
    <t>264.01.002</t>
  </si>
  <si>
    <t>PANEL ÇİT SİSTEMİ</t>
  </si>
  <si>
    <t>267.01</t>
  </si>
  <si>
    <t>MUHASEBE PROGRAMI-LOGO</t>
  </si>
  <si>
    <t>267.02</t>
  </si>
  <si>
    <t>SLQ SERVER LİSANS</t>
  </si>
  <si>
    <t>SubTotal</t>
  </si>
  <si>
    <t>Feb</t>
    <phoneticPr fontId="6" type="noConversion"/>
  </si>
  <si>
    <t>Depreciation and Amortization Expenses</t>
    <phoneticPr fontId="3" type="noConversion"/>
  </si>
  <si>
    <t>Cagatay</t>
    <phoneticPr fontId="3" type="noConversion"/>
  </si>
  <si>
    <t>Manufacturing Personnel Rental Expenses</t>
    <phoneticPr fontId="3" type="noConversion"/>
  </si>
  <si>
    <t>Rental Expenses</t>
    <phoneticPr fontId="3" type="noConversion"/>
  </si>
  <si>
    <t>-</t>
    <phoneticPr fontId="3" type="noConversion"/>
  </si>
  <si>
    <t>1년 렌트비 납부예정(`26년 2월), 25년 : 13,541 TL</t>
    <phoneticPr fontId="3" type="noConversion"/>
  </si>
  <si>
    <t>1년 렌트비 납부예정(`26년 2월) 25년 : 14,000 TL</t>
    <phoneticPr fontId="3" type="noConversion"/>
  </si>
  <si>
    <t>1년 렌트비 납부예정(`26년 6월) 25년 : 90,000 TL</t>
    <phoneticPr fontId="3" type="noConversion"/>
  </si>
  <si>
    <t>1년 렌트비 납부예정(`26년 4월) 25년 : 110,000 TL</t>
    <phoneticPr fontId="3" type="noConversion"/>
  </si>
  <si>
    <t>Executive Rental Expenses</t>
    <phoneticPr fontId="3" type="noConversion"/>
  </si>
  <si>
    <t>렌트 5</t>
    <phoneticPr fontId="18" type="noConversion"/>
  </si>
  <si>
    <t>신규 주재원</t>
    <phoneticPr fontId="18" type="noConversion"/>
  </si>
  <si>
    <t>Company Own Car Oil Expenses</t>
  </si>
  <si>
    <t>Common Rental Car Oil Expenses</t>
  </si>
  <si>
    <t>- Joe and Lee Insurance</t>
  </si>
  <si>
    <t>- Korea Business Trip Invitation Included</t>
  </si>
  <si>
    <t>Office General Expenses</t>
  </si>
  <si>
    <t>Rental car repair (3 Company Car/ 1time/year 5,000TL) &amp; Maintanance</t>
  </si>
  <si>
    <t>Rental  car repair (Chanho Park, 1time/year 5,000TL)</t>
  </si>
  <si>
    <t>- Government Membership Fee</t>
  </si>
  <si>
    <t>The fee was increased by %30.</t>
  </si>
  <si>
    <t>4% applied to 26 year sales</t>
  </si>
  <si>
    <t xml:space="preserve">- KSC &amp; KCTR IT Payment </t>
  </si>
  <si>
    <t>Notary / Translation expenses</t>
  </si>
  <si>
    <t>Tax Accounting &amp; Audit (VDY)</t>
  </si>
  <si>
    <t>-</t>
  </si>
  <si>
    <t>Forklift maintenance (3 time/year, 12,000TL)</t>
  </si>
  <si>
    <t>Warehouse Heater</t>
  </si>
  <si>
    <t>Compansator</t>
  </si>
  <si>
    <t>Will not be paid 2026</t>
  </si>
  <si>
    <t>hi-Way toll fee/Parking (Joe/Lee,Common Car )</t>
  </si>
  <si>
    <t>Profit and Loss statement   FY 2026</t>
  </si>
  <si>
    <t>- Ev-v4 will start on september</t>
  </si>
  <si>
    <t>double check</t>
  </si>
  <si>
    <r>
      <t>ÇA</t>
    </r>
    <r>
      <rPr>
        <sz val="12"/>
        <color theme="1"/>
        <rFont val="Segoe UI"/>
        <family val="2"/>
        <charset val="238"/>
      </rPr>
      <t>Ğ</t>
    </r>
    <r>
      <rPr>
        <sz val="12"/>
        <color theme="1"/>
        <rFont val="맑은 고딕"/>
        <family val="2"/>
        <scheme val="minor"/>
      </rPr>
      <t>LA</t>
    </r>
  </si>
  <si>
    <r>
      <t>MER</t>
    </r>
    <r>
      <rPr>
        <sz val="12"/>
        <color theme="1"/>
        <rFont val="Segoe UI"/>
        <family val="2"/>
        <charset val="238"/>
      </rPr>
      <t>İ</t>
    </r>
    <r>
      <rPr>
        <sz val="12"/>
        <color theme="1"/>
        <rFont val="맑은 고딕"/>
        <family val="2"/>
        <scheme val="minor"/>
      </rPr>
      <t>Ç</t>
    </r>
  </si>
  <si>
    <r>
      <rPr>
        <sz val="12"/>
        <color theme="1"/>
        <rFont val="Segoe UI"/>
        <family val="3"/>
        <charset val="238"/>
      </rPr>
      <t>İ</t>
    </r>
    <r>
      <rPr>
        <sz val="12"/>
        <color theme="1"/>
        <rFont val="Calibri"/>
        <family val="3"/>
      </rPr>
      <t>BRAHIM (</t>
    </r>
    <r>
      <rPr>
        <sz val="12"/>
        <color theme="1"/>
        <rFont val="맑은 고딕"/>
        <family val="3"/>
        <charset val="129"/>
        <scheme val="minor"/>
      </rPr>
      <t>Residents Takosan)</t>
    </r>
  </si>
  <si>
    <t>T2X8-14A033-BA</t>
  </si>
  <si>
    <t>T2X8-14A033-EA</t>
  </si>
  <si>
    <t>T2X8-14A033-AA</t>
  </si>
  <si>
    <t>T2X8-14A033-GA</t>
  </si>
  <si>
    <t>환율(TRY/USD)</t>
    <phoneticPr fontId="3" type="noConversion"/>
  </si>
  <si>
    <t>EV-V4 매입가 비율</t>
    <phoneticPr fontId="3" type="noConversion"/>
  </si>
  <si>
    <t>`26년 2월부터 Suffix 변경</t>
    <phoneticPr fontId="3" type="noConversion"/>
  </si>
  <si>
    <t>TZ38-14A033-AB</t>
  </si>
  <si>
    <t>TZ38-14A033-BB</t>
  </si>
  <si>
    <t>TZ38-14A033-CB</t>
  </si>
  <si>
    <t>TZ38-14A033-DB</t>
  </si>
  <si>
    <t>TZ38-14A033-EB</t>
  </si>
  <si>
    <t>TZ38-14A033-GB</t>
  </si>
  <si>
    <t>TZ38-14A033-KB</t>
  </si>
  <si>
    <t>TZ38-14A033-MB</t>
  </si>
  <si>
    <t>TZ38-14A033-TA</t>
  </si>
  <si>
    <t>TZ38-14A033-LB</t>
  </si>
  <si>
    <t>USD/EUR</t>
    <phoneticPr fontId="3" type="noConversion"/>
  </si>
  <si>
    <t>TZ38-10B694-CB</t>
  </si>
  <si>
    <t>TZ38-10B694-BB</t>
  </si>
  <si>
    <t>TZ38-10B680-AB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</si>
</sst>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42">
    <x:numFmt numFmtId="42" formatCode="_-&quot;₩&quot;* #,##0_-;\-&quot;₩&quot;* #,##0_-;_-&quot;₩&quot;* &quot;-&quot;_-;_-@_-"/>
    <x:numFmt numFmtId="41" formatCode="_-* #,##0_-;\-* #,##0_-;_-* &quot;-&quot;_-;_-@_-"/>
    <x:numFmt numFmtId="44" formatCode="_-&quot;₩&quot;* #,##0.00_-;\-&quot;₩&quot;* #,##0.00_-;_-&quot;₩&quot;* &quot;-&quot;??_-;_-@_-"/>
    <x:numFmt numFmtId="43" formatCode="_-* #,##0.00_-;\-* #,##0.00_-;_-* &quot;-&quot;??_-;_-@_-"/>
    <x:numFmt numFmtId="24" formatCode="\$#,##0_);[Red]\(\$#,##0\)"/>
    <x:numFmt numFmtId="176" formatCode="&quot;₺&quot;#,##0;\-&quot;₺&quot;#,##0"/>
    <x:numFmt numFmtId="177" formatCode="&quot;₺&quot;#,##0;[Red]\-&quot;₺&quot;#,##0"/>
    <x:numFmt numFmtId="178" formatCode="_-&quot;₺&quot;* #,##0.00_-;\-&quot;₺&quot;* #,##0.00_-;_-&quot;₺&quot;* &quot;-&quot;??_-;_-@_-"/>
    <x:numFmt numFmtId="179" formatCode="_-* #,##0.0_-;\-* #,##0.0_-;_-* &quot;-&quot;_-;_-@_-"/>
    <x:numFmt numFmtId="180" formatCode="#,##0_ "/>
    <x:numFmt numFmtId="181" formatCode="&quot;₺&quot;#,##0"/>
    <x:numFmt numFmtId="182" formatCode="yyyy/mm/dd;@"/>
    <x:numFmt numFmtId="183" formatCode="_-[$TRY]\ * #,##0.00_-;\-[$TRY]\ * #,##0.00_-;_-[$TRY]\ * &quot;-&quot;??_-;_-@_-"/>
    <x:numFmt numFmtId="184" formatCode="_-* #,##0\ [$€-1]_-;\-* #,##0\ [$€-1]_-;_-* &quot;-&quot;??\ [$€-1]_-;_-@_-"/>
    <x:numFmt numFmtId="185" formatCode="_-[$$-409]* #,##0.00_ ;_-[$$-409]* \-#,##0.00\ ;_-[$$-409]* &quot;-&quot;??_ ;_-@_ "/>
    <x:numFmt numFmtId="186" formatCode="_-[$$-409]* #,##0_ ;_-[$$-409]* \-#,##0\ ;_-[$$-409]* &quot;-&quot;??_ ;_-@_ "/>
    <x:numFmt numFmtId="187" formatCode="_-&quot;₺&quot;* #,##0_-;\-&quot;₺&quot;* #,##0_-;_-&quot;₺&quot;* &quot;-&quot;??_-;_-@_-"/>
    <x:numFmt numFmtId="188" formatCode="_-[$₺-41F]* #,##0_-;\-[$₺-41F]* #,##0_-;_-[$₺-41F]* &quot;-&quot;??_-;_-@_-"/>
    <x:numFmt numFmtId="189" formatCode="[$TRY]\ #,##0.00_);[Red]\([$TRY]\ #,##0.00\)"/>
    <x:numFmt numFmtId="190" formatCode="[$TRY]\ #,##0_);[Red]\([$TRY]\ #,##0\)"/>
    <x:numFmt numFmtId="191" formatCode="0_ "/>
    <x:numFmt numFmtId="192" formatCode="_-* #,##0_-;\-* #,##0_-;_-* &quot;-&quot;??_-;_-@_-"/>
    <x:numFmt numFmtId="193" formatCode="[$€-2]\ #,##0.00;\-[$€-2]\ #,##0.00"/>
    <x:numFmt numFmtId="194" formatCode="_-[$TRY]\ * #,##0_-;\-[$TRY]\ * #,##0_-;_-[$TRY]\ * &quot;-&quot;??_-;_-@_-"/>
    <x:numFmt numFmtId="195" formatCode="[$€-2]\ #,##0;\-[$€-2]\ #,##0"/>
    <x:numFmt numFmtId="196" formatCode="\$#,##0.00"/>
    <x:numFmt numFmtId="197" formatCode="0.0%"/>
    <x:numFmt numFmtId="199" formatCode="0_);[Red]\(0\)"/>
    <x:numFmt numFmtId="200" formatCode="\$#,##0"/>
    <x:numFmt numFmtId="201" formatCode="[$₺-41F]#,##0"/>
    <x:numFmt numFmtId="202" formatCode="_-[$€-2]\ * #,##0_-;\-[$€-2]\ * #,##0_-;_-[$€-2]\ * &quot;-&quot;??_-;_-@_-"/>
    <x:numFmt numFmtId="203" formatCode="0.0"/>
    <x:numFmt numFmtId="204" formatCode="_([$€-2]\ * #,##0_);_([$€-2]\ * \(#,##0\);_([$€-2]\ * &quot;-&quot;??_);_(@_)"/>
    <x:numFmt numFmtId="205" formatCode="dd\.mm\.yyyy"/>
    <x:numFmt numFmtId="206" formatCode="_-&quot;₺&quot;* #,##0.0_-;\-&quot;₺&quot;* #,##0.0_-;_-&quot;₺&quot;* &quot;-&quot;??_-;_-@_-"/>
    <x:numFmt numFmtId="207" formatCode="0.000_ "/>
    <x:numFmt numFmtId="208" formatCode="[$₺-41F]#,##0;[Red]\-[$₺-41F]#,##0"/>
    <x:numFmt numFmtId="209" formatCode="[$$-409]#,##0"/>
    <x:numFmt numFmtId="212" formatCode="###"/>
    <x:numFmt numFmtId="213" formatCode="[$€-2]\ #,##0.00"/>
    <x:numFmt numFmtId="214" formatCode="_-* #,##0.00_-;\-* #,##0.00_-;_-* &quot;-&quot;_-;_-@_-"/>
    <x:numFmt numFmtId="215" formatCode="[$€-2]\ #,##0.00;[Red]\-[$€-2]\ #,##0.00"/>
  </x:numFmts>
  <x:fonts count="163"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sz val="11"/>
      <x:color theme="0" tint="-4.9989318521683403E-2"/>
      <x:name val="맑은 고딕"/>
      <x:family val="3"/>
      <x:charset val="129"/>
      <x:scheme val="minor"/>
    </x:font>
    <x:font>
      <x:sz val="11"/>
      <x:color theme="1"/>
      <x:name val="맑은 고딕"/>
      <x:family val="2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.25"/>
      <x:color indexed="8"/>
      <x:name val="Microsoft Sans Serif"/>
      <x:family val="2"/>
    </x:font>
    <x:font>
      <x:sz val="10"/>
      <x:color theme="1"/>
      <x:name val="맑은 고딕"/>
      <x:family val="2"/>
      <x:scheme val="minor"/>
    </x:font>
    <x:font>
      <x:b/>
      <x:sz val="9"/>
      <x:color indexed="81"/>
      <x:name val="Tahoma"/>
      <x:family val="2"/>
      <x:charset val="162"/>
    </x:font>
    <x:font>
      <x:sz val="9"/>
      <x:color indexed="81"/>
      <x:name val="Tahoma"/>
      <x:family val="2"/>
      <x:charset val="162"/>
    </x:font>
    <x:font>
      <x:b/>
      <x:sz val="9"/>
      <x:color indexed="81"/>
      <x:name val="돋움"/>
      <x:family val="3"/>
      <x:charset val="129"/>
    </x:font>
    <x:font>
      <x:b/>
      <x:sz val="9"/>
      <x:color indexed="81"/>
      <x:name val="Tahoma"/>
      <x:family val="2"/>
    </x:font>
    <x:font>
      <x:sz val="11"/>
      <x:color theme="1"/>
      <x:name val="맑은 고딕"/>
      <x:family val="2"/>
      <x:charset val="162"/>
      <x:scheme val="minor"/>
    </x:font>
    <x:font>
      <x:b/>
      <x:sz val="2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2"/>
      <x:charset val="162"/>
      <x:scheme val="minor"/>
    </x:font>
    <x:font>
      <x:sz val="9"/>
      <x:color theme="1"/>
      <x:name val="맑은 고딕"/>
      <x:family val="2"/>
      <x:scheme val="minor"/>
    </x:font>
    <x:font>
      <x:sz val="6"/>
      <x:color theme="1"/>
      <x:name val="맑은 고딕"/>
      <x:family val="3"/>
      <x:charset val="129"/>
      <x:scheme val="minor"/>
    </x:font>
    <x:font>
      <x:sz val="11"/>
      <x:color rgb="FF0000FF"/>
      <x:name val="맑은 고딕"/>
      <x:family val="2"/>
      <x:scheme val="minor"/>
    </x:font>
    <x:font>
      <x:b/>
      <x:sz val="14"/>
      <x:color theme="1"/>
      <x:name val="맑은 고딕"/>
      <x:family val="3"/>
      <x:charset val="129"/>
      <x:scheme val="minor"/>
    </x:font>
    <x:font>
      <x:sz val="11"/>
      <x:color theme="1"/>
      <x:name val="Calibri"/>
      <x:family val="2"/>
      <x:charset val="162"/>
    </x:font>
    <x:font>
      <x:sz val="10"/>
      <x:color rgb="FF000000"/>
      <x:name val="Malgun Gothic"/>
      <x:family val="2"/>
    </x:font>
    <x:font>
      <x:sz val="10"/>
      <x:color theme="1"/>
      <x:name val="Malgun Gothic"/>
      <x:family val="2"/>
    </x:font>
    <x:font>
      <x:sz val="10"/>
      <x:name val="Arial"/>
      <x:family val="2"/>
    </x:font>
    <x:font>
      <x:sz val="10"/>
      <x:name val="Trebuchet MS"/>
      <x:family val="2"/>
      <x:charset val="162"/>
    </x:font>
    <x:font>
      <x:sz val="10"/>
      <x:name val="맑은 고딕"/>
      <x:family val="2"/>
      <x:scheme val="major"/>
    </x:font>
    <x:font>
      <x:sz val="8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b/>
      <x:sz val="20"/>
      <x:color theme="1"/>
      <x:name val="맑은 고딕"/>
      <x:family val="2"/>
      <x:scheme val="minor"/>
    </x:font>
    <x:font>
      <x:b/>
      <x:sz val="18"/>
      <x:color theme="1"/>
      <x:name val="맑은 고딕"/>
      <x:family val="2"/>
      <x:scheme val="minor"/>
    </x:font>
    <x:font>
      <x:b/>
      <x:sz val="18"/>
      <x:color theme="1"/>
      <x:name val="맑은 고딕"/>
      <x:family val="3"/>
      <x:charset val="129"/>
      <x:scheme val="minor"/>
    </x:font>
    <x:font>
      <x:b/>
      <x:sz val="12"/>
      <x:color indexed="8"/>
      <x:name val="맑은 고딕"/>
      <x:family val="3"/>
      <x:charset val="129"/>
      <x:scheme val="major"/>
    </x:font>
    <x:font>
      <x:sz val="6"/>
      <x:color theme="1"/>
      <x:name val="맑은 고딕"/>
      <x:family val="2"/>
      <x:scheme val="minor"/>
    </x:font>
    <x:font>
      <x:b/>
      <x:sz val="36"/>
      <x:color theme="1"/>
      <x:name val="맑은 고딕"/>
      <x:family val="3"/>
      <x:charset val="129"/>
      <x:scheme val="minor"/>
    </x:font>
    <x:font>
      <x:sz val="12"/>
      <x:color rgb="FF0000FF"/>
      <x:name val="맑은 고딕"/>
      <x:family val="3"/>
      <x:charset val="129"/>
      <x:scheme val="minor"/>
    </x:font>
    <x:font>
      <x:b/>
      <x:sz val="16"/>
      <x:color theme="1"/>
      <x:name val="맑은 고딕"/>
      <x:family val="3"/>
      <x:charset val="129"/>
      <x:scheme val="minor"/>
    </x:font>
    <x:font>
      <x:sz val="11"/>
      <x:color rgb="FF0000FF"/>
      <x:name val="맑은 고딕"/>
      <x:family val="3"/>
      <x:charset val="129"/>
      <x:scheme val="minor"/>
    </x:font>
    <x:font>
      <x:b/>
      <x:sz val="11"/>
      <x:color rgb="FF0000FF"/>
      <x:name val="맑은 고딕"/>
      <x:family val="3"/>
      <x:charset val="129"/>
      <x:scheme val="minor"/>
    </x:font>
    <x:font>
      <x:sz val="11"/>
      <x:color indexed="8"/>
      <x:name val="맑은 고딕"/>
      <x:family val="2"/>
      <x:scheme val="minor"/>
    </x:font>
    <x:font>
      <x:sz val="10"/>
      <x:color indexed="8"/>
      <x:name val="Calibri"/>
      <x:family val="2"/>
      <x:charset val="162"/>
    </x:font>
    <x:font>
      <x:sz val="10"/>
      <x:color rgb="FF000000"/>
      <x:name val="Calibri"/>
      <x:family val="2"/>
      <x:charset val="162"/>
    </x:font>
    <x:font>
      <x:sz val="8"/>
      <x:color rgb="FF000000"/>
      <x:name val="맑은 고딕"/>
      <x:family val="3"/>
      <x:charset val="129"/>
      <x:scheme val="minor"/>
    </x:font>
    <x:font>
      <x:sz val="10"/>
      <x:color indexed="8"/>
      <x:name val="맑은 고딕"/>
      <x:family val="3"/>
      <x:charset val="129"/>
      <x:scheme val="major"/>
    </x:font>
    <x:font>
      <x:sz val="10"/>
      <x:color indexed="8"/>
      <x:name val="굴림"/>
      <x:family val="3"/>
      <x:charset val="129"/>
    </x:font>
    <x:font>
      <x:sz val="10"/>
      <x:color rgb="FF000000"/>
      <x:name val="맑은 고딕"/>
      <x:family val="3"/>
      <x:charset val="129"/>
      <x:scheme val="major"/>
    </x:font>
    <x:font>
      <x:sz val="10"/>
      <x:color theme="1"/>
      <x:name val="맑은 고딕"/>
      <x:family val="3"/>
      <x:charset val="129"/>
      <x:scheme val="major"/>
    </x:font>
    <x:font>
      <x:sz val="8"/>
      <x:name val="굴림"/>
      <x:family val="3"/>
      <x:charset val="129"/>
    </x:font>
    <x:font>
      <x:b/>
      <x:sz val="10"/>
      <x:color indexed="8"/>
      <x:name val="맑은 고딕"/>
      <x:family val="3"/>
      <x:charset val="129"/>
      <x:scheme val="major"/>
    </x:font>
    <x:font>
      <x:sz val="10"/>
      <x:name val="맑은 고딕"/>
      <x:family val="3"/>
      <x:charset val="129"/>
      <x:scheme val="major"/>
    </x:font>
    <x:font>
      <x:sz val="10"/>
      <x:color theme="0" tint="-0.499984740745262"/>
      <x:name val="맑은 고딕"/>
      <x:family val="3"/>
      <x:charset val="129"/>
      <x:scheme val="major"/>
    </x:font>
    <x:font>
      <x:sz val="10"/>
      <x:color rgb="FF0000FF"/>
      <x:name val="맑은 고딕"/>
      <x:family val="3"/>
      <x:charset val="129"/>
      <x:scheme val="major"/>
    </x:font>
    <x:font>
      <x:sz val="9"/>
      <x:color indexed="8"/>
      <x:name val="맑은 고딕"/>
      <x:family val="3"/>
      <x:charset val="129"/>
      <x:scheme val="major"/>
    </x:font>
    <x:font>
      <x:sz val="9"/>
      <x:name val="맑은 고딕"/>
      <x:family val="3"/>
      <x:charset val="129"/>
      <x:scheme val="major"/>
    </x:font>
    <x:font>
      <x:sz val="9"/>
      <x:color rgb="FF000000"/>
      <x:name val="맑은 고딕"/>
      <x:family val="3"/>
      <x:charset val="129"/>
      <x:scheme val="major"/>
    </x:font>
    <x:font>
      <x:sz val="9"/>
      <x:color theme="1"/>
      <x:name val="맑은 고딕"/>
      <x:family val="3"/>
      <x:charset val="129"/>
      <x:scheme val="major"/>
    </x:font>
    <x:font>
      <x:b/>
      <x:sz val="9"/>
      <x:color indexed="8"/>
      <x:name val="맑은 고딕"/>
      <x:family val="3"/>
      <x:charset val="129"/>
      <x:scheme val="major"/>
    </x:font>
    <x:font>
      <x:b/>
      <x:sz val="9"/>
      <x:name val="맑은 고딕"/>
      <x:family val="3"/>
      <x:charset val="129"/>
      <x:scheme val="major"/>
    </x:font>
    <x:font>
      <x:sz val="8"/>
      <x:color rgb="FF000000"/>
      <x:name val="맑은 고딕"/>
      <x:family val="3"/>
      <x:charset val="129"/>
    </x:font>
    <x:font>
      <x:sz val="8"/>
      <x:color indexed="8"/>
      <x:name val="맑은 고딕"/>
      <x:family val="3"/>
      <x:charset val="129"/>
      <x:scheme val="major"/>
    </x:font>
    <x:font>
      <x:sz val="9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color theme="1"/>
      <x:name val="맑은 고딕"/>
      <x:family val="3"/>
      <x:charset val="238"/>
      <x:scheme val="minor"/>
    </x:font>
    <x:font>
      <x:sz val="8"/>
      <x:color theme="1"/>
      <x:name val="Segoe UI"/>
      <x:family val="3"/>
      <x:charset val="238"/>
    </x:font>
    <x:font>
      <x:sz val="8"/>
      <x:color theme="1"/>
      <x:name val="Calibri"/>
      <x:family val="3"/>
    </x:font>
    <x:font>
      <x:sz val="10"/>
      <x:color theme="1"/>
      <x:name val="맑은 고딕"/>
      <x:family val="3"/>
      <x:charset val="129"/>
    </x:font>
    <x:font>
      <x:sz val="10"/>
      <x:name val="맑은 고딕"/>
      <x:family val="3"/>
      <x:charset val="129"/>
    </x:font>
    <x:font>
      <x:sz val="10"/>
      <x:color theme="1"/>
      <x:name val="맑은 고딕"/>
      <x:family val="2"/>
      <x:charset val="162"/>
      <x:scheme val="minor"/>
    </x:font>
    <x:font>
      <x:sz val="10"/>
      <x:color rgb="FF000000"/>
      <x:name val="맑은 고딕"/>
      <x:family val="3"/>
      <x:charset val="129"/>
    </x:font>
    <x:font>
      <x:b/>
      <x:sz val="11"/>
      <x:color theme="1"/>
      <x:name val="맑은 고딕"/>
      <x:family val="2"/>
      <x:charset val="162"/>
      <x:scheme val="minor"/>
    </x:font>
    <x:font>
      <x:b/>
      <x:sz val="10"/>
      <x:color theme="1"/>
      <x:name val="Malgun Gothic"/>
      <x:family val="2"/>
    </x:font>
    <x:font>
      <x:sz val="10"/>
      <x:color theme="1"/>
      <x:name val="Malgun Gothic"/>
      <x:family val="3"/>
      <x:charset val="129"/>
    </x:font>
    <x:font>
      <x:b/>
      <x:sz val="10"/>
      <x:color theme="1"/>
      <x:name val="맑은 고딕"/>
      <x:family val="2"/>
      <x:scheme val="minor"/>
    </x:font>
    <x:font>
      <x:sz val="11"/>
      <x:color rgb="FF9C6500"/>
      <x:name val="맑은 고딕"/>
      <x:family val="2"/>
      <x:charset val="162"/>
      <x:scheme val="minor"/>
    </x:font>
    <x:font>
      <x:b/>
      <x:sz val="9"/>
      <x:color rgb="FF0000FF"/>
      <x:name val="맑은 고딕"/>
      <x:family val="2"/>
      <x:scheme val="minor"/>
    </x:font>
    <x:font>
      <x:sz val="11"/>
      <x:color theme="1"/>
      <x:name val="Arial"/>
      <x:family val="2"/>
    </x:font>
    <x:font>
      <x:b/>
      <x:sz val="11"/>
      <x:color theme="1"/>
      <x:name val="맑은 고딕"/>
      <x:family val="2"/>
      <x:scheme val="minor"/>
    </x:font>
    <x:font>
      <x:sz val="9"/>
      <x:name val="맑은 고딕"/>
      <x:family val="3"/>
      <x:charset val="129"/>
      <x:scheme val="minor"/>
    </x:font>
    <x:font>
      <x:sz val="8"/>
      <x:name val="맑은 고딕"/>
      <x:family val="2"/>
      <x:scheme val="minor"/>
    </x:font>
    <x:font>
      <x:sz val="10"/>
      <x:color theme="1"/>
      <x:name val="Segoe UI"/>
      <x:family val="2"/>
      <x:charset val="238"/>
    </x:font>
    <x:font>
      <x:sz val="10"/>
      <x:color rgb="FF000000"/>
      <x:name val="Malgun Gothic"/>
      <x:family val="3"/>
      <x:charset val="129"/>
    </x:font>
    <x:font>
      <x:sz val="11"/>
      <x:name val="Aptos Narrow"/>
      <x:family val="2"/>
    </x:font>
    <x:font>
      <x:u/>
      <x:sz val="11"/>
      <x:color theme="10"/>
      <x:name val="맑은 고딕"/>
      <x:family val="2"/>
      <x:charset val="162"/>
      <x:scheme val="minor"/>
    </x:font>
    <x:font>
      <x:u/>
      <x:sz val="11"/>
      <x:color theme="10"/>
      <x:name val="맑은 고딕"/>
      <x:family val="2"/>
      <x:scheme val="minor"/>
    </x:font>
    <x:font>
      <x:sz val="9"/>
      <x:name val="Trebuchet MS"/>
      <x:family val="2"/>
      <x:charset val="162"/>
    </x:font>
    <x:font>
      <x:b/>
      <x:sz val="15"/>
      <x:name val="맑은 고딕"/>
      <x:family val="3"/>
      <x:charset val="129"/>
    </x:font>
    <x:font>
      <x:b/>
      <x:sz val="13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i/>
      <x:sz val="11"/>
      <x:color theme="1"/>
      <x:name val="Calibri"/>
      <x:family val="2"/>
      <x:charset val="162"/>
    </x:font>
    <x:font>
      <x:i/>
      <x:sz val="10"/>
      <x:name val="맑은 고딕"/>
      <x:family val="3"/>
      <x:charset val="129"/>
    </x:font>
    <x:font>
      <x:sz val="11"/>
      <x:color indexed="8"/>
      <x:name val="Calibri"/>
      <x:family val="2"/>
      <x:charset val="162"/>
    </x:font>
    <x:font>
      <x:sz val="10"/>
      <x:name val="맑은 고딕"/>
      <x:family val="3"/>
      <x:charset val="129"/>
      <x:scheme val="minor"/>
    </x:font>
    <x:font>
      <x:b/>
      <x:sz val="11"/>
      <x:color indexed="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b/>
      <x:sz val="10"/>
      <x:color indexed="8"/>
      <x:name val="맑은 고딕"/>
      <x:family val="2"/>
      <x:charset val="162"/>
      <x:scheme val="major"/>
    </x:font>
    <x:font>
      <x:sz val="10"/>
      <x:color rgb="FFFF0000"/>
      <x:name val="맑은 고딕"/>
      <x:family val="3"/>
      <x:charset val="129"/>
      <x:scheme val="minor"/>
    </x:font>
    <x:font>
      <x:sz val="12"/>
      <x:name val="宋体"/>
      <x:family val="3"/>
      <x:charset val="129"/>
    </x:font>
    <x:font>
      <x:sz val="10"/>
      <x:name val="Helv"/>
      <x:family val="2"/>
    </x:font>
    <x:font>
      <x:sz val="10"/>
      <x:color indexed="8"/>
      <x:name val="MS Sans Serif"/>
      <x:family val="2"/>
    </x:font>
    <x:font>
      <x:sz val="12"/>
      <x:name val="Times New Roman"/>
      <x:family val="1"/>
    </x:font>
    <x:font>
      <x:sz val="11"/>
      <x:color indexed="17"/>
      <x:name val="Calibri"/>
      <x:family val="2"/>
    </x:font>
    <x:font>
      <x:sz val="11"/>
      <x:name val="돋움"/>
      <x:family val="3"/>
      <x:charset val="129"/>
    </x:font>
    <x:font>
      <x:sz val="11"/>
      <x:color indexed="8"/>
      <x:name val="Calibri"/>
      <x:family val="2"/>
    </x:font>
    <x:font>
      <x:b/>
      <x:sz val="12"/>
      <x:name val="宋体"/>
      <x:family val="3"/>
      <x:charset val="255"/>
    </x:font>
    <x:font>
      <x:sz val="11"/>
      <x:color indexed="9"/>
      <x:name val="Calibri"/>
      <x:family val="2"/>
    </x:font>
    <x:font>
      <x:b/>
      <x:sz val="11"/>
      <x:color indexed="9"/>
      <x:name val="Calibri"/>
      <x:family val="2"/>
    </x:font>
    <x:font>
      <x:b/>
      <x:sz val="11"/>
      <x:color indexed="52"/>
      <x:name val="Calibri"/>
      <x:family val="2"/>
    </x:font>
    <x:font>
      <x:b/>
      <x:sz val="15"/>
      <x:color indexed="56"/>
      <x:name val="Calibri"/>
      <x:family val="2"/>
    </x:font>
    <x:font>
      <x:b/>
      <x:sz val="11"/>
      <x:color indexed="8"/>
      <x:name val="Calibri"/>
      <x:family val="2"/>
    </x:font>
    <x:font>
      <x:sz val="11"/>
      <x:color indexed="52"/>
      <x:name val="Calibri"/>
      <x:family val="2"/>
    </x:font>
    <x:font>
      <x:b/>
      <x:sz val="11"/>
      <x:color indexed="56"/>
      <x:name val="Calibri"/>
      <x:family val="2"/>
    </x:font>
    <x:font>
      <x:sz val="11"/>
      <x:color indexed="62"/>
      <x:name val="Calibri"/>
      <x:family val="2"/>
    </x:font>
    <x:font>
      <x:sz val="11"/>
      <x:color indexed="20"/>
      <x:name val="Calibri"/>
      <x:family val="2"/>
    </x:font>
    <x:font>
      <x:sz val="11"/>
      <x:color indexed="60"/>
      <x:name val="Calibri"/>
      <x:family val="2"/>
    </x:font>
    <x:font>
      <x:i/>
      <x:sz val="11"/>
      <x:color indexed="23"/>
      <x:name val="Calibri"/>
      <x:family val="2"/>
    </x:font>
    <x:font>
      <x:b/>
      <x:sz val="11"/>
      <x:color indexed="63"/>
      <x:name val="Calibri"/>
      <x:family val="2"/>
    </x:font>
    <x:font>
      <x:b/>
      <x:sz val="13"/>
      <x:color indexed="56"/>
      <x:name val="Calibri"/>
      <x:family val="2"/>
    </x:font>
    <x:font>
      <x:sz val="11"/>
      <x:color indexed="10"/>
      <x:name val="Calibri"/>
      <x:family val="2"/>
    </x:font>
    <x:font>
      <x:b/>
      <x:sz val="18"/>
      <x:color indexed="56"/>
      <x:name val="Cambria"/>
      <x:family val="1"/>
    </x:font>
    <x:font>
      <x:sz val="12"/>
      <x:name val="新細明體"/>
      <x:charset val="134"/>
    </x:font>
    <x:font>
      <x:sz val="10"/>
      <x:color rgb="FF000000"/>
      <x:name val="Arial"/>
      <x:family val="2"/>
      <x:charset val="162"/>
    </x:font>
    <x:font>
      <x:sz val="10"/>
      <x:name val="Arial"/>
      <x:family val="2"/>
      <x:charset val="162"/>
    </x:font>
    <x:font>
      <x:sz val="12"/>
      <x:name val="宋体"/>
      <x:family val="3"/>
      <x:charset val="255"/>
    </x:font>
    <x:font>
      <x:sz val="10"/>
      <x:name val="돋움"/>
      <x:family val="3"/>
      <x:charset val="129"/>
    </x:font>
    <x:font>
      <x:sz val="8"/>
      <x:name val="Segoe UI"/>
      <x:family val="3"/>
      <x:charset val="238"/>
    </x:font>
    <x:font>
      <x:sz val="10"/>
      <x:color rgb="FF000000"/>
      <x:name val="맑은 고딕"/>
      <x:family val="3"/>
      <x:charset val="129"/>
      <x:scheme val="minor"/>
    </x:font>
    <x:font>
      <x:sz val="10"/>
      <x:color rgb="FFFF0000"/>
      <x:name val="맑은 고딕"/>
      <x:family val="2"/>
      <x:scheme val="minor"/>
    </x:font>
    <x:font>
      <x:sz val="10"/>
      <x:color theme="1"/>
      <x:name val="Calibri"/>
      <x:family val="2"/>
    </x:font>
    <x:font>
      <x:sz val="10"/>
      <x:color indexed="8"/>
      <x:name val="맑은 고딕"/>
      <x:family val="2"/>
      <x:scheme val="minor"/>
    </x:font>
    <x:font>
      <x:b/>
      <x:sz val="10"/>
      <x:color rgb="FF0000FF"/>
      <x:name val="맑은 고딕"/>
      <x:family val="3"/>
      <x:charset val="129"/>
      <x:scheme val="minor"/>
    </x:font>
    <x:font>
      <x:sz val="10"/>
      <x:color rgb="FF0000FF"/>
      <x:name val="맑은 고딕"/>
      <x:family val="3"/>
      <x:charset val="129"/>
      <x:scheme val="minor"/>
    </x:font>
    <x:font>
      <x:b/>
      <x:sz val="10"/>
      <x:name val="맑은 고딕"/>
      <x:family val="3"/>
      <x:charset val="129"/>
      <x:scheme val="major"/>
    </x:font>
    <x:font>
      <x:sz val="10"/>
      <x:color theme="1"/>
      <x:name val="맑은 고딕"/>
      <x:family val="2"/>
      <x:scheme val="major"/>
    </x:font>
    <x:font>
      <x:sz val="10"/>
      <x:name val="맑은 고딕"/>
      <x:family val="2"/>
      <x:charset val="162"/>
      <x:scheme val="minor"/>
    </x:font>
    <x:font>
      <x:sz val="10"/>
      <x:color indexed="8"/>
      <x:name val="맑은 고딕"/>
      <x:family val="2"/>
      <x:charset val="162"/>
      <x:scheme val="minor"/>
    </x:font>
    <x:font>
      <x:sz val="10"/>
      <x:color rgb="FF0000FF"/>
      <x:name val="맑은 고딕"/>
      <x:family val="2"/>
      <x:charset val="162"/>
      <x:scheme val="minor"/>
    </x:font>
    <x:font>
      <x:sz val="10"/>
      <x:color theme="0"/>
      <x:name val="맑은 고딕"/>
      <x:family val="2"/>
      <x:scheme val="minor"/>
    </x:font>
    <x:font>
      <x:sz val="10"/>
      <x:color rgb="FF0000FF"/>
      <x:name val="맑은 고딕"/>
      <x:family val="2"/>
      <x:scheme val="minor"/>
    </x:font>
    <x:font>
      <x:sz val="6"/>
      <x:name val="맑은 고딕"/>
      <x:family val="3"/>
      <x:charset val="129"/>
      <x:scheme val="minor"/>
    </x:font>
    <x:font>
      <x:b/>
      <x:sz val="11"/>
      <x:color rgb="FF000000"/>
      <x:name val="맑은 고딕"/>
      <x:family val="3"/>
      <x:charset val="129"/>
    </x:font>
    <x:font>
      <x:sz val="11"/>
      <x:color rgb="FF000000"/>
      <x:name val="맑은 고딕"/>
      <x:family val="3"/>
      <x:charset val="129"/>
    </x:font>
    <x:font>
      <x:sz val="11"/>
      <x:color rgb="FF0000FF"/>
      <x:name val="맑은 고딕"/>
      <x:family val="3"/>
      <x:charset val="129"/>
    </x:font>
    <x:font>
      <x:b/>
      <x:sz val="11"/>
      <x:color rgb="FF0000FF"/>
      <x:name val="맑은 고딕"/>
      <x:family val="3"/>
      <x:charset val="129"/>
    </x:font>
    <x:font>
      <x:sz val="11"/>
      <x:color indexed="8"/>
      <x:name val="맑은 고딕"/>
      <x:family val="3"/>
      <x:charset val="129"/>
      <x:scheme val="minor"/>
    </x:font>
    <x:font>
      <x:b/>
      <x:sz val="11"/>
      <x:name val="맑은 고딕"/>
      <x:family val="2"/>
      <x:scheme val="minor"/>
    </x:font>
    <x:font>
      <x:sz val="12"/>
      <x:color theme="1"/>
      <x:name val="맑은 고딕"/>
      <x:family val="2"/>
      <x:scheme val="minor"/>
    </x:font>
    <x:font>
      <x:sz val="11"/>
      <x:name val="맑은 고딕"/>
      <x:family val="2"/>
      <x:scheme val="minor"/>
    </x:font>
    <x:font>
      <x:sz val="11"/>
      <x:color rgb="FFFF0000"/>
      <x:name val="맑은 고딕"/>
      <x:family val="2"/>
      <x:scheme val="minor"/>
    </x:font>
    <x:font>
      <x:b/>
      <x:sz val="28"/>
      <x:color theme="1"/>
      <x:name val="맑은 고딕"/>
      <x:family val="3"/>
      <x:charset val="129"/>
      <x:scheme val="minor"/>
    </x:font>
    <x:font>
      <x:sz val="12"/>
      <x:color theme="0"/>
      <x:name val="맑은 고딕"/>
      <x:family val="2"/>
      <x:scheme val="minor"/>
    </x:font>
    <x:font>
      <x:sz val="12"/>
      <x:color theme="1"/>
      <x:name val="Segoe UI"/>
      <x:family val="2"/>
      <x:charset val="238"/>
    </x:font>
    <x:font>
      <x:sz val="12"/>
      <x:color theme="1"/>
      <x:name val="맑은 고딕"/>
      <x:family val="3"/>
      <x:charset val="238"/>
      <x:scheme val="minor"/>
    </x:font>
    <x:font>
      <x:sz val="12"/>
      <x:color theme="1"/>
      <x:name val="Segoe UI"/>
      <x:family val="3"/>
      <x:charset val="238"/>
    </x:font>
    <x:font>
      <x:sz val="12"/>
      <x:color theme="1"/>
      <x:name val="Calibri"/>
      <x:family val="3"/>
    </x:font>
    <x:font>
      <x:sz val="12"/>
      <x:color rgb="FF0000FF"/>
      <x:name val="맑은 고딕"/>
      <x:family val="2"/>
      <x:scheme val="minor"/>
    </x:font>
    <x:font>
      <x:b/>
      <x:sz val="12"/>
      <x:color rgb="FF0000FF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ajor"/>
    </x:font>
    <x:font>
      <x:i/>
      <x:sz val="10"/>
      <x:name val="맑은 고딕"/>
      <x:family val="3"/>
      <x:charset val="129"/>
      <x:scheme val="major"/>
    </x:font>
    <x:font>
      <x:sz val="10"/>
      <x:color theme="0"/>
      <x:name val="맑은 고딕"/>
      <x:family val="3"/>
      <x:charset val="129"/>
      <x:scheme val="major"/>
    </x:font>
  </x:fonts>
  <x:fills count="57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theme="4" tint="0.39997558519241921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0"/>
        <x:bgColor indexed="9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3" tint="0.89996032593768116"/>
        <x:bgColor indexed="64"/>
      </x:patternFill>
    </x:fill>
    <x:fill>
      <x:patternFill patternType="solid">
        <x:fgColor theme="3" tint="0.24994659260841701"/>
        <x:bgColor indexed="64"/>
      </x:patternFill>
    </x:fill>
    <x:fill>
      <x:patternFill patternType="solid">
        <x:fgColor theme="4" tint="-0.249977111117893"/>
        <x:bgColor indexed="64"/>
      </x:patternFill>
    </x:fill>
    <x:fill>
      <x:patternFill patternType="solid">
        <x:fgColor indexed="9"/>
        <x:bgColor indexed="9"/>
      </x:patternFill>
    </x:fill>
    <x:fill>
      <x:patternFill patternType="solid">
        <x:fgColor rgb="FFFFFFFF"/>
        <x:bgColor rgb="FFFFFFFF"/>
      </x:patternFill>
    </x:fill>
    <x:fill>
      <x:patternFill patternType="solid">
        <x:fgColor theme="4" tint="0.79998168889431442"/>
        <x:bgColor indexed="64"/>
      </x:patternFill>
    </x:fill>
    <x:fill>
      <x:patternFill patternType="solid">
        <x:fgColor rgb="FFFFEB9C"/>
      </x:patternFill>
    </x:fill>
    <x:fill>
      <x:patternFill patternType="solid">
        <x:fgColor rgb="FFE2EFDA"/>
        <x:bgColor rgb="FF000000"/>
      </x:patternFill>
    </x:fill>
    <x:fill>
      <x:patternFill patternType="solid">
        <x:fgColor theme="2"/>
        <x:bgColor indexed="64"/>
      </x:patternFill>
    </x:fill>
    <x:fill>
      <x:patternFill patternType="solid">
        <x:fgColor theme="2" tint="-0.249977111117893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theme="3" tint="0.79998168889431442"/>
        <x:bgColor indexed="64"/>
      </x:patternFill>
    </x:fill>
    <x:fill>
      <x:patternFill patternType="solid">
        <x:fgColor theme="0" tint="-4.9989318521683403E-2"/>
        <x:bgColor indexed="9"/>
      </x:patternFill>
    </x:fill>
    <x:fill>
      <x:patternFill patternType="solid">
        <x:fgColor theme="0" tint="-4.9989318521683403E-2"/>
        <x:bgColor rgb="FF000000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00"/>
        <x:bgColor indexed="9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rgb="FF0000FF"/>
        <x:bgColor indexed="64"/>
      </x:patternFill>
    </x:fill>
    <x:fill>
      <x:patternFill patternType="solid">
        <x:fgColor theme="3" tint="0.89999084444715716"/>
        <x:bgColor indexed="64"/>
      </x:patternFill>
    </x:fill>
  </x:fills>
  <x:borders count="224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hair">
        <x:color indexed="64"/>
      </x:right>
      <x:top/>
      <x:bottom style="hair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auto="1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000000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BFBFBF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BFBFBF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BFBFBF"/>
      </x:right>
      <x:top style="thin">
        <x:color auto="1"/>
      </x:top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ck">
        <x:color indexed="64"/>
      </x:left>
      <x:right style="thick">
        <x:color indexed="64"/>
      </x:right>
      <x:top style="thick">
        <x:color indexed="64"/>
      </x:top>
      <x:bottom/>
      <x:diagonal/>
    </x:border>
    <x:border>
      <x:left style="thick">
        <x:color indexed="64"/>
      </x:left>
      <x:right style="thin">
        <x:color indexed="64"/>
      </x:right>
      <x:top style="thick">
        <x:color indexed="64"/>
      </x:top>
      <x:bottom/>
      <x:diagonal/>
    </x:border>
    <x:border>
      <x:left style="thin">
        <x:color indexed="64"/>
      </x:left>
      <x:right/>
      <x:top style="thick">
        <x:color indexed="64"/>
      </x:top>
      <x:bottom style="thin">
        <x:color indexed="64"/>
      </x:bottom>
      <x:diagonal/>
    </x:border>
    <x:border>
      <x:left/>
      <x:right/>
      <x:top style="thick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ck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ck">
        <x:color indexed="64"/>
      </x:top>
      <x:bottom/>
      <x:diagonal/>
    </x:border>
    <x:border>
      <x:left style="thin">
        <x:color indexed="64"/>
      </x:left>
      <x:right style="thick">
        <x:color indexed="64"/>
      </x:right>
      <x:top style="thick">
        <x:color indexed="64"/>
      </x:top>
      <x:bottom/>
      <x:diagonal/>
    </x:border>
    <x:border>
      <x:left style="thick">
        <x:color indexed="64"/>
      </x:left>
      <x:right/>
      <x:top style="thick">
        <x:color indexed="64"/>
      </x:top>
      <x:bottom style="thin">
        <x:color indexed="64"/>
      </x:bottom>
      <x:diagonal/>
    </x:border>
    <x:border>
      <x:left/>
      <x:right style="thick">
        <x:color indexed="64"/>
      </x:right>
      <x:top style="thick">
        <x:color indexed="64"/>
      </x:top>
      <x:bottom style="thin">
        <x:color indexed="64"/>
      </x:bottom>
      <x:diagonal/>
    </x:border>
    <x:border>
      <x:left style="thick">
        <x:color indexed="64"/>
      </x:left>
      <x:right style="thick">
        <x:color indexed="64"/>
      </x:right>
      <x:top/>
      <x:bottom style="thick">
        <x:color indexed="64"/>
      </x:bottom>
      <x:diagonal/>
    </x:border>
    <x:border>
      <x:left style="thick">
        <x:color indexed="64"/>
      </x:left>
      <x:right style="thin">
        <x:color indexed="64"/>
      </x:right>
      <x:top/>
      <x:bottom style="thick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ck">
        <x:color indexed="64"/>
      </x:bottom>
      <x:diagonal/>
    </x:border>
    <x:border>
      <x:left style="thin">
        <x:color indexed="64"/>
      </x:left>
      <x:right style="thick">
        <x:color indexed="64"/>
      </x:right>
      <x:top/>
      <x:bottom style="thick">
        <x:color indexed="64"/>
      </x:bottom>
      <x:diagonal/>
    </x:border>
    <x:border>
      <x:left style="thick">
        <x:color indexed="64"/>
      </x:left>
      <x:right style="thick">
        <x:color indexed="64"/>
      </x:right>
      <x:top/>
      <x:bottom/>
      <x:diagonal/>
    </x:border>
    <x:border>
      <x:left style="thick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 style="thick">
        <x:color indexed="64"/>
      </x:left>
      <x:right style="medium">
        <x:color indexed="64"/>
      </x:right>
      <x:top style="thick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ck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ck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ck">
        <x:color indexed="64"/>
      </x:right>
      <x:top style="thick">
        <x:color indexed="64"/>
      </x:top>
      <x:bottom style="thin">
        <x:color indexed="64"/>
      </x:bottom>
      <x:diagonal/>
    </x:border>
    <x:border>
      <x:left style="thick">
        <x:color indexed="64"/>
      </x:left>
      <x:right style="thick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ck">
        <x:color indexed="64"/>
      </x:left>
      <x:right style="medium">
        <x:color indexed="64"/>
      </x:right>
      <x:top/>
      <x:bottom/>
      <x:diagonal/>
    </x:border>
    <x:border>
      <x:left style="thin">
        <x:color indexed="64"/>
      </x:left>
      <x:right style="thick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ck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ck">
        <x:color indexed="64"/>
      </x:right>
      <x:top/>
      <x:bottom style="thin">
        <x:color indexed="64"/>
      </x:bottom>
      <x:diagonal/>
    </x:border>
    <x:border>
      <x:left style="thick">
        <x:color indexed="64"/>
      </x:left>
      <x:right style="thick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ck">
        <x:color indexed="64"/>
      </x:right>
      <x:top/>
      <x:bottom/>
      <x:diagonal/>
    </x:border>
    <x:border>
      <x:left style="thick">
        <x:color indexed="64"/>
      </x:left>
      <x:right/>
      <x:top/>
      <x:bottom/>
      <x:diagonal/>
    </x:border>
    <x:border>
      <x:left style="thick">
        <x:color indexed="64"/>
      </x:left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ck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ck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ck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ck">
        <x:color indexed="64"/>
      </x:bottom>
      <x:diagonal/>
    </x:border>
    <x:border>
      <x:left style="thin">
        <x:color indexed="64"/>
      </x:left>
      <x:right style="thick">
        <x:color indexed="64"/>
      </x:right>
      <x:top style="thin">
        <x:color indexed="64"/>
      </x:top>
      <x:bottom style="thick">
        <x:color indexed="64"/>
      </x:bottom>
      <x:diagonal/>
    </x:border>
    <x:border>
      <x:left/>
      <x:right style="thick">
        <x:color indexed="64"/>
      </x:right>
      <x:top style="thin">
        <x:color indexed="64"/>
      </x:top>
      <x:bottom style="thick">
        <x:color indexed="64"/>
      </x:bottom>
      <x:diagonal/>
    </x:border>
    <x:border>
      <x:left style="thick">
        <x:color theme="8"/>
      </x:left>
      <x:right/>
      <x:top style="thick">
        <x:color theme="8"/>
      </x:top>
      <x:bottom/>
      <x:diagonal/>
    </x:border>
    <x:border>
      <x:left/>
      <x:right/>
      <x:top style="thick">
        <x:color theme="8"/>
      </x:top>
      <x:bottom/>
      <x:diagonal/>
    </x:border>
    <x:border>
      <x:left/>
      <x:right style="thick">
        <x:color theme="8"/>
      </x:right>
      <x:top style="thick">
        <x:color theme="8"/>
      </x:top>
      <x:bottom/>
      <x:diagonal/>
    </x:border>
    <x:border>
      <x:left style="thick">
        <x:color theme="8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ck">
        <x:color theme="8"/>
      </x:bottom>
      <x:diagonal/>
    </x:border>
    <x:border>
      <x:left style="medium">
        <x:color theme="8"/>
      </x:left>
      <x:right/>
      <x:top style="medium">
        <x:color theme="8"/>
      </x:top>
      <x:bottom/>
      <x:diagonal/>
    </x:border>
    <x:border>
      <x:left/>
      <x:right/>
      <x:top style="medium">
        <x:color theme="8"/>
      </x:top>
      <x:bottom/>
      <x:diagonal/>
    </x:border>
    <x:border>
      <x:left/>
      <x:right style="medium">
        <x:color theme="8"/>
      </x:right>
      <x:top style="medium">
        <x:color theme="8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ck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ck">
        <x:color indexed="64"/>
      </x:left>
      <x:right style="thin">
        <x:color indexed="64"/>
      </x:right>
      <x:top style="thick">
        <x:color indexed="64"/>
      </x:top>
      <x:bottom style="thin">
        <x:color indexed="64"/>
      </x:bottom>
      <x:diagonal/>
    </x:border>
    <x:border>
      <x:left style="thick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ck">
        <x:color indexed="64"/>
      </x:left>
      <x:right style="thin">
        <x:color indexed="64"/>
      </x:right>
      <x:top style="thin">
        <x:color indexed="64"/>
      </x:top>
      <x:bottom style="thick">
        <x:color indexed="64"/>
      </x:bottom>
      <x:diagonal/>
    </x:border>
    <x:border>
      <x:left style="thin">
        <x:color rgb="FFBFBFBF"/>
      </x:left>
      <x:right/>
      <x:top style="thin">
        <x:color rgb="FF000000"/>
      </x:top>
      <x:bottom style="thin">
        <x:color rgb="FFBFBFBF"/>
      </x:bottom>
      <x:diagonal/>
    </x:border>
    <x:border>
      <x:left style="thin">
        <x:color rgb="FFBFBFBF"/>
      </x:left>
      <x:right/>
      <x:top style="thin">
        <x:color rgb="FFBFBFBF"/>
      </x:top>
      <x:bottom style="thin">
        <x:color rgb="FF000000"/>
      </x:bottom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hair">
        <x:color indexed="64"/>
      </x:bottom>
      <x:diagonal/>
    </x:border>
    <x:border>
      <x:left style="thick">
        <x:color indexed="64"/>
      </x:left>
      <x:right style="medium">
        <x:color indexed="64"/>
      </x:right>
      <x:top/>
      <x:bottom style="thick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ck">
        <x:color theme="8"/>
      </x:bottom>
      <x:diagonal/>
    </x:border>
    <x:border>
      <x:left style="thick">
        <x:color indexed="64"/>
      </x:left>
      <x:right style="thick">
        <x:color indexed="64"/>
      </x:right>
      <x:top style="thin">
        <x:color indexed="64"/>
      </x:top>
      <x:bottom style="thick">
        <x:color theme="8"/>
      </x:bottom>
      <x:diagonal/>
    </x:border>
    <x:border>
      <x:left style="thick">
        <x:color indexed="64"/>
      </x:left>
      <x:right style="thick">
        <x:color indexed="64"/>
      </x:right>
      <x:top style="thick">
        <x:color indexed="64"/>
      </x:top>
      <x:bottom style="thin">
        <x:color indexed="64"/>
      </x:bottom>
      <x:diagonal/>
    </x:border>
    <x:border>
      <x:left style="thick">
        <x:color indexed="64"/>
      </x:left>
      <x:right/>
      <x:top style="thin">
        <x:color indexed="64"/>
      </x:top>
      <x:bottom style="thick">
        <x:color indexed="64"/>
      </x:bottom>
      <x:diagonal/>
    </x:border>
    <x:border>
      <x:left/>
      <x:right/>
      <x:top style="thin">
        <x:color indexed="64"/>
      </x:top>
      <x:bottom style="thick">
        <x:color auto="1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double">
        <x:color indexed="52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  <x:border>
      <x:left style="thin">
        <x:color theme="0" tint="-0.499984740745262"/>
      </x:left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ck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ck">
        <x:color indexed="64"/>
      </x:left>
      <x:right style="thick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ck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ck">
        <x:color indexed="64"/>
      </x:left>
      <x:right style="thick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thick">
        <x:color indexed="64"/>
      </x:right>
      <x:top/>
      <x:bottom/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ck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 style="thin">
        <x:color indexed="64"/>
      </x:top>
      <x:bottom/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rgb="FFBFBFBF"/>
      </x:left>
      <x:right style="thin">
        <x:color indexed="64"/>
      </x:right>
      <x:top style="thin">
        <x:color rgb="FF000000"/>
      </x:top>
      <x:bottom style="thin">
        <x:color rgb="FFBFBFBF"/>
      </x:bottom>
      <x:diagonal/>
    </x:border>
    <x:border>
      <x:left style="thin">
        <x:color rgb="FFBFBFBF"/>
      </x:left>
      <x:right style="thin">
        <x:color indexed="64"/>
      </x:right>
      <x:top style="thin">
        <x:color rgb="FFBFBFBF"/>
      </x:top>
      <x:bottom style="thin">
        <x:color rgb="FF000000"/>
      </x:bottom>
      <x:diagonal/>
    </x:border>
    <x:border>
      <x:left style="thin">
        <x:color indexed="64"/>
      </x:left>
      <x:right style="thin">
        <x:color theme="0" tint="-0.34998626667073579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34998626667073579"/>
      </x:left>
      <x:right style="thin">
        <x:color theme="0" tint="-0.34998626667073579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34998626667073579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theme="0" tint="-0.34998626667073579"/>
      </x:right>
      <x:top style="thin">
        <x:color indexed="64"/>
      </x:top>
      <x:bottom style="thin">
        <x:color theme="0" tint="-0.34998626667073579"/>
      </x:bottom>
      <x:diagonal/>
    </x:border>
    <x:border>
      <x:left style="thin">
        <x:color theme="0" tint="-0.34998626667073579"/>
      </x:left>
      <x:right style="thin">
        <x:color theme="0" tint="-0.34998626667073579"/>
      </x:right>
      <x:top style="thin">
        <x:color indexed="64"/>
      </x:top>
      <x:bottom style="thin">
        <x:color theme="0" tint="-0.34998626667073579"/>
      </x:bottom>
      <x:diagonal/>
    </x:border>
    <x:border>
      <x:left style="thin">
        <x:color theme="0" tint="-0.34998626667073579"/>
      </x:left>
      <x:right style="thin">
        <x:color indexed="64"/>
      </x:right>
      <x:top style="thin">
        <x:color indexed="64"/>
      </x:top>
      <x:bottom style="thin">
        <x:color theme="0" tint="-0.34998626667073579"/>
      </x:bottom>
      <x:diagonal/>
    </x:border>
    <x:border>
      <x:left style="thin">
        <x:color indexed="64"/>
      </x:left>
      <x:right style="thin">
        <x:color theme="0" tint="-0.34998626667073579"/>
      </x:right>
      <x:top style="thin">
        <x:color theme="0" tint="-0.34998626667073579"/>
      </x:top>
      <x:bottom style="thin">
        <x:color indexed="64"/>
      </x:bottom>
      <x:diagonal/>
    </x:border>
    <x:border>
      <x:left style="thin">
        <x:color theme="0" tint="-0.34998626667073579"/>
      </x:left>
      <x:right style="thin">
        <x:color theme="0" tint="-0.34998626667073579"/>
      </x:right>
      <x:top style="thin">
        <x:color theme="0" tint="-0.34998626667073579"/>
      </x:top>
      <x:bottom style="thin">
        <x:color indexed="64"/>
      </x:bottom>
      <x:diagonal/>
    </x:border>
    <x:border>
      <x:left style="thin">
        <x:color theme="0" tint="-0.34998626667073579"/>
      </x:left>
      <x:right style="thin">
        <x:color indexed="64"/>
      </x:right>
      <x:top style="thin">
        <x:color theme="0" tint="-0.34998626667073579"/>
      </x:top>
      <x:bottom style="thin">
        <x:color indexed="64"/>
      </x:bottom>
      <x:diagonal/>
    </x:border>
    <x:border>
      <x:left style="thin">
        <x:color indexed="64"/>
      </x:left>
      <x:right style="thin">
        <x:color theme="0" tint="-0.34998626667073579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theme="0" tint="-0.34998626667073579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/>
      <x:bottom style="thin">
        <x:color indexed="8"/>
      </x:bottom>
      <x:diagonal/>
    </x:border>
    <x:border>
      <x:left style="thin">
        <x:color indexed="8"/>
      </x:left>
      <x:right/>
      <x:top style="thin">
        <x:color indexed="8"/>
      </x:top>
      <x:bottom style="thin">
        <x:color indexed="8"/>
      </x:bottom>
      <x:diagonal/>
    </x:border>
    <x:border>
      <x:left style="thick">
        <x:color rgb="FF0000FF"/>
      </x:left>
      <x:right style="thick">
        <x:color rgb="FF0000FF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/>
      <x:diagonal/>
    </x:border>
    <x:border>
      <x:left style="thin">
        <x:color indexed="8"/>
      </x:left>
      <x:right/>
      <x:top style="thin">
        <x:color indexed="8"/>
      </x:top>
      <x:bottom/>
      <x:diagonal/>
    </x:border>
    <x:border>
      <x:left style="thick">
        <x:color rgb="FF0000FF"/>
      </x:left>
      <x:right style="thick">
        <x:color rgb="FF0000FF"/>
      </x:right>
      <x:top style="thick">
        <x:color rgb="FF0000FF"/>
      </x:top>
      <x:bottom style="thin">
        <x:color indexed="64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ck">
        <x:color rgb="FF0000FF"/>
      </x:left>
      <x:right style="thick">
        <x:color rgb="FF0000FF"/>
      </x:right>
      <x:top style="thin">
        <x:color indexed="8"/>
      </x:top>
      <x:bottom/>
      <x:diagonal/>
    </x:border>
    <x:border>
      <x:left style="thin">
        <x:color indexed="8"/>
      </x:left>
      <x:right/>
      <x:top/>
      <x:bottom style="thin">
        <x:color indexed="8"/>
      </x:bottom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 style="thick">
        <x:color rgb="FF0000FF"/>
      </x:left>
      <x:right style="thick">
        <x:color rgb="FF0000FF"/>
      </x:right>
      <x:top/>
      <x:bottom style="thin">
        <x:color indexed="8"/>
      </x:bottom>
      <x:diagonal/>
    </x:border>
    <x:border>
      <x:left style="thick">
        <x:color rgb="FF0000FF"/>
      </x:left>
      <x:right style="thick">
        <x:color rgb="FF0000FF"/>
      </x:right>
      <x:top style="thin">
        <x:color indexed="64"/>
      </x:top>
      <x:bottom style="thin">
        <x:color indexed="64"/>
      </x:bottom>
      <x:diagonal/>
    </x:border>
    <x:border>
      <x:left style="thick">
        <x:color rgb="FF0000FF"/>
      </x:left>
      <x:right style="thick">
        <x:color rgb="FF0000FF"/>
      </x:right>
      <x:top/>
      <x:bottom style="thick">
        <x:color rgb="FF0000FF"/>
      </x:bottom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ck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ck">
        <x:color indexed="64"/>
      </x:left>
      <x:right style="thick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5635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6" fillId="0" borderId="0"/>
    <x:xf numFmtId="0" fontId="6" fillId="0" borderId="0"/>
    <x:xf numFmtId="178" fontId="6" fillId="0" borderId="0" applyFont="0" applyFill="0" applyBorder="0" applyAlignment="0" applyProtection="0"/>
    <x:xf numFmtId="0" fontId="12" fillId="0" borderId="0"/>
    <x:xf numFmtId="0" fontId="1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8" fillId="0" borderId="0"/>
    <x:xf numFmtId="42" fontId="1" fillId="0" borderId="0" applyFont="0" applyFill="0" applyBorder="0" applyAlignment="0" applyProtection="0">
      <x:alignment vertical="center"/>
    </x:xf>
    <x:xf numFmtId="0" fontId="25" fillId="0" borderId="0"/>
    <x:xf numFmtId="0" fontId="18" fillId="0" borderId="0"/>
    <x:xf numFmtId="0" fontId="28" fillId="0" borderId="0"/>
    <x:xf numFmtId="178" fontId="1" fillId="0" borderId="0" applyFont="0" applyFill="0" applyBorder="0" applyAlignment="0" applyProtection="0"/>
    <x:xf numFmtId="0" fontId="6" fillId="0" borderId="0"/>
    <x:xf numFmtId="44" fontId="1" fillId="0" borderId="0" applyFont="0" applyFill="0" applyBorder="0" applyAlignment="0" applyProtection="0">
      <x:alignment vertical="center"/>
    </x:xf>
    <x:xf numFmtId="0" fontId="6" fillId="0" borderId="0"/>
    <x:xf numFmtId="0" fontId="48" fillId="0" borderId="0"/>
    <x:xf numFmtId="41" fontId="48" fillId="0" borderId="0" applyFont="0" applyFill="0" applyBorder="0" applyAlignment="0" applyProtection="0"/>
    <x:xf numFmtId="0" fontId="48" fillId="0" borderId="0"/>
    <x:xf numFmtId="41" fontId="6" fillId="0" borderId="0" applyFont="0" applyFill="0" applyBorder="0" applyAlignment="0" applyProtection="0"/>
    <x:xf numFmtId="0" fontId="1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0" fontId="18" fillId="0" borderId="0"/>
    <x:xf numFmtId="0" fontId="18" fillId="0" borderId="0"/>
    <x:xf numFmtId="0" fontId="77" fillId="19" borderId="0" applyNumberFormat="0" applyBorder="0" applyAlignment="0" applyProtection="0"/>
    <x:xf numFmtId="178" fontId="18" fillId="0" borderId="0" applyFont="0" applyFill="0" applyBorder="0" applyAlignment="0" applyProtection="0"/>
    <x:xf numFmtId="0" fontId="6" fillId="0" borderId="0"/>
    <x:xf numFmtId="9" fontId="28" fillId="0" borderId="0" applyFont="0" applyFill="0" applyBorder="0" applyAlignment="0" applyProtection="0">
      <x:alignment vertical="center"/>
    </x:xf>
    <x:xf numFmtId="41" fontId="48" fillId="0" borderId="0" applyFont="0" applyFill="0" applyBorder="0" applyAlignment="0" applyProtection="0"/>
    <x:xf numFmtId="9" fontId="48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0" fontId="1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178" fontId="18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9" fontId="1" fillId="0" borderId="0" applyFont="0" applyFill="0" applyBorder="0" applyAlignment="0" applyProtection="0">
      <x:alignment vertical="center"/>
    </x:xf>
    <x:xf numFmtId="0" fontId="43" fillId="0" borderId="0"/>
    <x:xf numFmtId="9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42" fontId="1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0" fontId="86" fillId="0" borderId="0" applyNumberFormat="0" applyFill="0" applyBorder="0" applyAlignment="0" applyProtection="0"/>
    <x:xf numFmtId="0" fontId="85" fillId="0" borderId="0"/>
    <x:xf numFmtId="9" fontId="6" fillId="0" borderId="0" applyFont="0" applyFill="0" applyBorder="0" applyAlignment="0" applyProtection="0"/>
    <x:xf numFmtId="9" fontId="1" fillId="0" borderId="0" applyFont="0" applyFill="0" applyBorder="0" applyAlignment="0" applyProtection="0">
      <x:alignment vertical="center"/>
    </x:xf>
    <x:xf numFmtId="0" fontId="87" fillId="0" borderId="0" applyNumberFormat="0" applyFill="0" applyBorder="0" applyAlignment="0" applyProtection="0"/>
    <x:xf numFmtId="0" fontId="18" fillId="0" borderId="0"/>
    <x:xf numFmtId="0" fontId="6" fillId="0" borderId="0"/>
    <x:xf numFmtId="178" fontId="6" fillId="0" borderId="0" applyFont="0" applyFill="0" applyBorder="0" applyAlignment="0" applyProtection="0"/>
    <x:xf numFmtId="41" fontId="48" fillId="0" borderId="0" applyFont="0" applyFill="0" applyBorder="0" applyAlignment="0" applyProtection="0"/>
    <x:xf numFmtId="41" fontId="6" fillId="0" borderId="0" applyFont="0" applyFill="0" applyBorder="0" applyAlignment="0" applyProtection="0"/>
    <x:xf numFmtId="41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178" fontId="18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" fillId="0" borderId="0">
      <x:alignment vertical="center"/>
    </x:xf>
    <x:xf numFmtId="0" fontId="18" fillId="0" borderId="0"/>
    <x:xf numFmtId="9" fontId="1" fillId="0" borderId="0" applyFont="0" applyFill="0" applyBorder="0" applyAlignment="0" applyProtection="0">
      <x:alignment vertical="center"/>
    </x:xf>
    <x:xf numFmtId="9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42" fontId="1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0" fontId="18" fillId="0" borderId="0"/>
    <x:xf numFmtId="178" fontId="18" fillId="0" borderId="0" applyFont="0" applyFill="0" applyBorder="0" applyAlignment="0" applyProtection="0"/>
    <x:xf numFmtId="0" fontId="18" fillId="0" borderId="0"/>
    <x:xf numFmtId="9" fontId="9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41" fontId="48" fillId="0" borderId="0" applyFont="0" applyFill="0" applyBorder="0" applyAlignment="0" applyProtection="0"/>
    <x:xf numFmtId="41" fontId="6" fillId="0" borderId="0" applyFont="0" applyFill="0" applyBorder="0" applyAlignment="0" applyProtection="0"/>
    <x:xf numFmtId="41" fontId="1" fillId="0" borderId="0" applyFont="0" applyFill="0" applyBorder="0" applyAlignment="0" applyProtection="0">
      <x:alignment vertical="center"/>
    </x:xf>
    <x:xf numFmtId="9" fontId="48" fillId="0" borderId="0" applyFont="0" applyFill="0" applyBorder="0" applyAlignment="0" applyProtection="0"/>
    <x:xf numFmtId="41" fontId="6" fillId="0" borderId="0" applyFont="0" applyFill="0" applyBorder="0" applyAlignment="0" applyProtection="0"/>
    <x:xf numFmtId="0" fontId="1" fillId="0" borderId="0">
      <x:alignment vertical="center"/>
    </x:xf>
    <x:xf numFmtId="178" fontId="6" fillId="0" borderId="0" applyFont="0" applyFill="0" applyBorder="0" applyAlignment="0" applyProtection="0"/>
    <x:xf numFmtId="0" fontId="100" fillId="0" borderId="0"/>
    <x:xf numFmtId="0" fontId="101" fillId="0" borderId="0"/>
    <x:xf numFmtId="0" fontId="102" fillId="0" borderId="0"/>
    <x:xf numFmtId="0" fontId="101" fillId="0" borderId="0"/>
    <x:xf numFmtId="0" fontId="101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3" fillId="0" borderId="0"/>
    <x:xf numFmtId="0" fontId="102" fillId="0" borderId="0"/>
    <x:xf numFmtId="0" fontId="102" fillId="0" borderId="0"/>
    <x:xf numFmtId="0" fontId="102" fillId="0" borderId="0"/>
    <x:xf numFmtId="0" fontId="101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8" fillId="0" borderId="0"/>
    <x:xf numFmtId="0" fontId="101" fillId="0" borderId="0"/>
    <x:xf numFmtId="0" fontId="102" fillId="0" borderId="0"/>
    <x:xf numFmtId="0" fontId="102" fillId="0" borderId="0"/>
    <x:xf numFmtId="0" fontId="104" fillId="28" borderId="0" applyNumberFormat="0" applyBorder="0" applyAlignment="0" applyProtection="0"/>
    <x:xf numFmtId="0" fontId="102" fillId="0" borderId="0"/>
    <x:xf numFmtId="0" fontId="101" fillId="0" borderId="0"/>
    <x:xf numFmtId="0" fontId="18" fillId="0" borderId="0"/>
    <x:xf numFmtId="0" fontId="105" fillId="0" borderId="0"/>
    <x:xf numFmtId="0" fontId="101" fillId="0" borderId="0"/>
    <x:xf numFmtId="0" fontId="101" fillId="0" borderId="0"/>
    <x:xf numFmtId="0" fontId="102" fillId="0" borderId="0"/>
    <x:xf numFmtId="0" fontId="102" fillId="0" borderId="0"/>
    <x:xf numFmtId="0" fontId="102" fillId="0" borderId="0"/>
    <x:xf numFmtId="0" fontId="100" fillId="0" borderId="0"/>
    <x:xf numFmtId="0" fontId="28" fillId="0" borderId="0"/>
    <x:xf numFmtId="0" fontId="101" fillId="0" borderId="0"/>
    <x:xf numFmtId="0" fontId="101" fillId="0" borderId="0"/>
    <x:xf numFmtId="0" fontId="106" fillId="0" borderId="0"/>
    <x:xf numFmtId="0" fontId="101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1" fillId="0" borderId="0"/>
    <x:xf numFmtId="0" fontId="107" fillId="0" borderId="0" applyNumberFormat="0" applyFill="0" applyBorder="0" applyProtection="0">
      <x:alignment vertical="center"/>
    </x:xf>
    <x:xf numFmtId="0" fontId="101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6" fillId="29" borderId="0" applyNumberFormat="0" applyBorder="0" applyAlignment="0" applyProtection="0"/>
    <x:xf numFmtId="0" fontId="102" fillId="0" borderId="0"/>
    <x:xf numFmtId="0" fontId="106" fillId="33" borderId="0" applyNumberFormat="0" applyBorder="0" applyAlignment="0" applyProtection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1" fillId="0" borderId="0"/>
    <x:xf numFmtId="0" fontId="101" fillId="0" borderId="0"/>
    <x:xf numFmtId="0" fontId="102" fillId="0" borderId="0"/>
    <x:xf numFmtId="0" fontId="101" fillId="0" borderId="0"/>
    <x:xf numFmtId="0" fontId="102" fillId="0" borderId="0"/>
    <x:xf numFmtId="0" fontId="101" fillId="0" borderId="0"/>
    <x:xf numFmtId="0" fontId="101" fillId="0" borderId="0"/>
    <x:xf numFmtId="0" fontId="102" fillId="0" borderId="0"/>
    <x:xf numFmtId="0" fontId="102" fillId="0" borderId="0"/>
    <x:xf numFmtId="0" fontId="106" fillId="36" borderId="0" applyNumberFormat="0" applyBorder="0" applyAlignment="0" applyProtection="0"/>
    <x:xf numFmtId="0" fontId="102" fillId="0" borderId="0"/>
    <x:xf numFmtId="0" fontId="102" fillId="0" borderId="0"/>
    <x:xf numFmtId="0" fontId="100" fillId="0" borderId="0">
      <x:alignment vertical="center"/>
    </x:xf>
    <x:xf numFmtId="0" fontId="101" fillId="0" borderId="0"/>
    <x:xf numFmtId="0" fontId="102" fillId="0" borderId="0"/>
    <x:xf numFmtId="0" fontId="102" fillId="0" borderId="0"/>
    <x:xf numFmtId="0" fontId="18" fillId="0" borderId="0"/>
    <x:xf numFmtId="0" fontId="101" fillId="0" borderId="0"/>
    <x:xf numFmtId="0" fontId="102" fillId="0" borderId="0"/>
    <x:xf numFmtId="0" fontId="102" fillId="0" borderId="0"/>
    <x:xf numFmtId="0" fontId="102" fillId="0" borderId="0"/>
    <x:xf numFmtId="0" fontId="101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1" fillId="0" borderId="0"/>
    <x:xf numFmtId="0" fontId="102" fillId="0" borderId="0"/>
    <x:xf numFmtId="0" fontId="102" fillId="0" borderId="0"/>
    <x:xf numFmtId="0" fontId="102" fillId="0" borderId="0"/>
    <x:xf numFmtId="0" fontId="106" fillId="44" borderId="0" applyNumberFormat="0" applyBorder="0" applyAlignment="0" applyProtection="0"/>
    <x:xf numFmtId="0" fontId="102" fillId="0" borderId="0"/>
    <x:xf numFmtId="0" fontId="102" fillId="0" borderId="0"/>
    <x:xf numFmtId="0" fontId="108" fillId="45" borderId="0" applyNumberFormat="0" applyBorder="0" applyAlignment="0" applyProtection="0"/>
    <x:xf numFmtId="0" fontId="102" fillId="0" borderId="0"/>
    <x:xf numFmtId="0" fontId="102" fillId="0" borderId="0"/>
    <x:xf numFmtId="0" fontId="101" fillId="0" borderId="0"/>
    <x:xf numFmtId="0" fontId="101" fillId="0" borderId="0"/>
    <x:xf numFmtId="0" fontId="101" fillId="0" borderId="0"/>
    <x:xf numFmtId="0" fontId="102" fillId="0" borderId="0"/>
    <x:xf numFmtId="0" fontId="101" fillId="0" borderId="0"/>
    <x:xf numFmtId="0" fontId="102" fillId="0" borderId="0"/>
    <x:xf numFmtId="0" fontId="102" fillId="0" borderId="0"/>
    <x:xf numFmtId="0" fontId="18" fillId="0" borderId="0"/>
    <x:xf numFmtId="0" fontId="102" fillId="0" borderId="0"/>
    <x:xf numFmtId="43" fontId="100" fillId="0" borderId="0" applyFont="0" applyFill="0" applyBorder="0" applyAlignment="0" applyProtection="0">
      <x:alignment vertical="center"/>
    </x:xf>
    <x:xf numFmtId="0" fontId="102" fillId="0" borderId="0"/>
    <x:xf numFmtId="0" fontId="102" fillId="0" borderId="0"/>
    <x:xf numFmtId="0" fontId="102" fillId="0" borderId="0"/>
    <x:xf numFmtId="0" fontId="100" fillId="0" borderId="0"/>
    <x:xf numFmtId="0" fontId="102" fillId="0" borderId="0"/>
    <x:xf numFmtId="0" fontId="109" fillId="27" borderId="141" applyNumberFormat="0" applyAlignment="0" applyProtection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8" fillId="39" borderId="0" applyNumberFormat="0" applyBorder="0" applyAlignment="0" applyProtection="0"/>
    <x:xf numFmtId="0" fontId="102" fillId="0" borderId="0"/>
    <x:xf numFmtId="0" fontId="102" fillId="0" borderId="0"/>
    <x:xf numFmtId="0" fontId="18" fillId="0" borderId="0"/>
    <x:xf numFmtId="0" fontId="102" fillId="0" borderId="0"/>
    <x:xf numFmtId="0" fontId="106" fillId="42" borderId="0" applyNumberFormat="0" applyBorder="0" applyAlignment="0" applyProtection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3" fillId="0" borderId="0"/>
    <x:xf numFmtId="0" fontId="102" fillId="0" borderId="0"/>
    <x:xf numFmtId="0" fontId="102" fillId="0" borderId="0"/>
    <x:xf numFmtId="43" fontId="100" fillId="0" borderId="0" applyFont="0" applyFill="0" applyBorder="0" applyAlignment="0" applyProtection="0">
      <x:alignment vertical="center"/>
    </x:xf>
    <x:xf numFmtId="0" fontId="102" fillId="0" borderId="0"/>
    <x:xf numFmtId="0" fontId="102" fillId="0" borderId="0"/>
    <x:xf numFmtId="0" fontId="108" fillId="37" borderId="0" applyNumberFormat="0" applyBorder="0" applyAlignment="0" applyProtection="0"/>
    <x:xf numFmtId="0" fontId="102" fillId="0" borderId="0"/>
    <x:xf numFmtId="0" fontId="102" fillId="0" borderId="0"/>
    <x:xf numFmtId="41" fontId="106" fillId="0" borderId="0" applyFont="0" applyFill="0" applyBorder="0" applyAlignment="0" applyProtection="0"/>
    <x:xf numFmtId="0" fontId="102" fillId="0" borderId="0"/>
    <x:xf numFmtId="0" fontId="101" fillId="0" borderId="0"/>
    <x:xf numFmtId="0" fontId="102" fillId="0" borderId="0"/>
    <x:xf numFmtId="0" fontId="102" fillId="0" borderId="0"/>
    <x:xf numFmtId="0" fontId="102" fillId="0" borderId="0"/>
    <x:xf numFmtId="0" fontId="101" fillId="0" borderId="0"/>
    <x:xf numFmtId="0" fontId="101" fillId="0" borderId="0"/>
    <x:xf numFmtId="0" fontId="101" fillId="0" borderId="0"/>
    <x:xf numFmtId="0" fontId="101" fillId="0" borderId="0"/>
    <x:xf numFmtId="0" fontId="101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10" fillId="26" borderId="139" applyNumberFormat="0" applyAlignment="0" applyProtection="0"/>
    <x:xf numFmtId="0" fontId="101" fillId="0" borderId="0"/>
    <x:xf numFmtId="0" fontId="101" fillId="0" borderId="0"/>
    <x:xf numFmtId="0" fontId="18" fillId="0" borderId="0"/>
    <x:xf numFmtId="0" fontId="102" fillId="0" borderId="0"/>
    <x:xf numFmtId="0" fontId="102" fillId="0" borderId="0"/>
    <x:xf numFmtId="0" fontId="102" fillId="0" borderId="0"/>
    <x:xf numFmtId="0" fontId="111" fillId="0" borderId="136" applyNumberFormat="0" applyFill="0" applyAlignment="0" applyProtection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0" fillId="24" borderId="135" applyNumberFormat="0" applyFont="0" applyAlignment="0" applyProtection="0"/>
    <x:xf numFmtId="0" fontId="101" fillId="0" borderId="0"/>
    <x:xf numFmtId="0" fontId="101" fillId="0" borderId="0"/>
    <x:xf numFmtId="0" fontId="102" fillId="0" borderId="0"/>
    <x:xf numFmtId="0" fontId="101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8" fillId="41" borderId="0" applyNumberFormat="0" applyBorder="0" applyAlignment="0" applyProtection="0"/>
    <x:xf numFmtId="0" fontId="102" fillId="0" borderId="0"/>
    <x:xf numFmtId="41" fontId="106" fillId="0" borderId="0" applyFont="0" applyFill="0" applyBorder="0" applyAlignment="0" applyProtection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8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1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12" fillId="0" borderId="143" applyNumberFormat="0" applyFill="0" applyAlignment="0" applyProtection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2" fillId="0" borderId="0"/>
    <x:xf numFmtId="0" fontId="101" fillId="0" borderId="0"/>
    <x:xf numFmtId="0" fontId="101" fillId="0" borderId="0"/>
    <x:xf numFmtId="0" fontId="101" fillId="0" borderId="0"/>
    <x:xf numFmtId="0" fontId="101" fillId="0" borderId="0"/>
    <x:xf numFmtId="0" fontId="101" fillId="0" borderId="0"/>
    <x:xf numFmtId="0" fontId="101" fillId="0" borderId="0"/>
    <x:xf numFmtId="0" fontId="18" fillId="0" borderId="0"/>
    <x:xf numFmtId="0" fontId="101" fillId="0" borderId="0"/>
    <x:xf numFmtId="0" fontId="101" fillId="0" borderId="0"/>
    <x:xf numFmtId="0" fontId="18" fillId="0" borderId="0"/>
    <x:xf numFmtId="0" fontId="101" fillId="0" borderId="0"/>
    <x:xf numFmtId="0" fontId="101" fillId="0" borderId="0"/>
    <x:xf numFmtId="0" fontId="101" fillId="0" borderId="0"/>
    <x:xf numFmtId="0" fontId="102" fillId="0" borderId="0"/>
    <x:xf numFmtId="0" fontId="106" fillId="32" borderId="0" applyNumberFormat="0" applyBorder="0" applyAlignment="0" applyProtection="0"/>
    <x:xf numFmtId="0" fontId="106" fillId="28" borderId="0" applyNumberFormat="0" applyBorder="0" applyAlignment="0" applyProtection="0"/>
    <x:xf numFmtId="0" fontId="106" fillId="40" borderId="0" applyNumberFormat="0" applyBorder="0" applyAlignment="0" applyProtection="0"/>
    <x:xf numFmtId="0" fontId="106" fillId="25" borderId="0" applyNumberFormat="0" applyBorder="0" applyAlignment="0" applyProtection="0"/>
    <x:xf numFmtId="0" fontId="106" fillId="38" borderId="0" applyNumberFormat="0" applyBorder="0" applyAlignment="0" applyProtection="0"/>
    <x:xf numFmtId="0" fontId="106" fillId="40" borderId="0" applyNumberFormat="0" applyBorder="0" applyAlignment="0" applyProtection="0"/>
    <x:xf numFmtId="0" fontId="106" fillId="33" borderId="0" applyNumberFormat="0" applyBorder="0" applyAlignment="0" applyProtection="0"/>
    <x:xf numFmtId="0" fontId="108" fillId="34" borderId="0" applyNumberFormat="0" applyBorder="0" applyAlignment="0" applyProtection="0"/>
    <x:xf numFmtId="0" fontId="108" fillId="36" borderId="0" applyNumberFormat="0" applyBorder="0" applyAlignment="0" applyProtection="0"/>
    <x:xf numFmtId="0" fontId="108" fillId="38" borderId="0" applyNumberFormat="0" applyBorder="0" applyAlignment="0" applyProtection="0"/>
    <x:xf numFmtId="0" fontId="108" fillId="39" borderId="0" applyNumberFormat="0" applyBorder="0" applyAlignment="0" applyProtection="0"/>
    <x:xf numFmtId="0" fontId="113" fillId="0" borderId="142" applyNumberFormat="0" applyFill="0" applyAlignment="0" applyProtection="0"/>
    <x:xf numFmtId="19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4" fillId="0" borderId="0" applyNumberFormat="0" applyFill="0" applyBorder="0" applyAlignment="0" applyProtection="0"/>
    <x:xf numFmtId="0" fontId="108" fillId="31" borderId="0" applyNumberFormat="0" applyBorder="0" applyAlignment="0" applyProtection="0"/>
    <x:xf numFmtId="0" fontId="108" fillId="35" borderId="0" applyNumberFormat="0" applyBorder="0" applyAlignment="0" applyProtection="0"/>
    <x:xf numFmtId="0" fontId="108" fillId="41" borderId="0" applyNumberFormat="0" applyBorder="0" applyAlignment="0" applyProtection="0"/>
    <x:xf numFmtId="0" fontId="108" fillId="43" borderId="0" applyNumberFormat="0" applyBorder="0" applyAlignment="0" applyProtection="0"/>
    <x:xf numFmtId="0" fontId="115" fillId="25" borderId="139" applyNumberFormat="0" applyAlignment="0" applyProtection="0"/>
    <x:xf numFmtId="0" fontId="106" fillId="0" borderId="0"/>
    <x:xf numFmtId="0" fontId="28" fillId="0" borderId="0"/>
    <x:xf numFmtId="0" fontId="106" fillId="0" borderId="0"/>
    <x:xf numFmtId="0" fontId="28" fillId="0" borderId="0"/>
    <x:xf numFmtId="0" fontId="116" fillId="29" borderId="0" applyNumberFormat="0" applyBorder="0" applyAlignment="0" applyProtection="0"/>
    <x:xf numFmtId="0" fontId="100" fillId="0" borderId="0" applyFont="0" applyFill="0" applyBorder="0" applyAlignment="0" applyProtection="0"/>
    <x:xf numFmtId="0" fontId="117" fillId="30" borderId="0" applyNumberFormat="0" applyBorder="0" applyAlignment="0" applyProtection="0"/>
    <x:xf numFmtId="0" fontId="106" fillId="0" borderId="0"/>
    <x:xf numFmtId="0" fontId="106" fillId="0" borderId="0"/>
    <x:xf numFmtId="0" fontId="18" fillId="0" borderId="0"/>
    <x:xf numFmtId="0" fontId="118" fillId="0" borderId="0" applyNumberForma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20" fillId="0" borderId="137" applyNumberFormat="0" applyFill="0" applyAlignment="0" applyProtection="0"/>
    <x:xf numFmtId="0" fontId="121" fillId="0" borderId="0" applyNumberFormat="0" applyFill="0" applyBorder="0" applyAlignment="0" applyProtection="0"/>
    <x:xf numFmtId="0" fontId="122" fillId="0" borderId="0" applyNumberFormat="0" applyFill="0" applyBorder="0" applyAlignment="0" applyProtection="0"/>
    <x:xf numFmtId="0" fontId="114" fillId="0" borderId="138" applyNumberFormat="0" applyFill="0" applyAlignment="0" applyProtection="0"/>
    <x:xf numFmtId="0" fontId="18" fillId="0" borderId="0"/>
    <x:xf numFmtId="0" fontId="18" fillId="0" borderId="0"/>
    <x:xf numFmtId="0" fontId="100" fillId="0" borderId="0">
      <x:alignment vertical="center"/>
    </x:xf>
    <x:xf numFmtId="0" fontId="100" fillId="0" borderId="0">
      <x:alignment vertical="center"/>
    </x:xf>
    <x:xf numFmtId="0" fontId="18" fillId="0" borderId="0"/>
    <x:xf numFmtId="0" fontId="18" fillId="0" borderId="0"/>
    <x:xf numFmtId="207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0" fontId="102" fillId="0" borderId="0"/>
    <x:xf numFmtId="0" fontId="123" fillId="0" borderId="0"/>
    <x:xf numFmtId="0" fontId="18" fillId="0" borderId="0"/>
    <x:xf numFmtId="178" fontId="18" fillId="0" borderId="0" applyFont="0" applyFill="0" applyBorder="0" applyAlignment="0" applyProtection="0"/>
    <x:xf numFmtId="0" fontId="124" fillId="0" borderId="0"/>
    <x:xf numFmtId="0" fontId="1" fillId="0" borderId="0">
      <x:alignment vertical="center"/>
    </x:xf>
    <x:xf numFmtId="178" fontId="18" fillId="0" borderId="0" applyFont="0" applyFill="0" applyBorder="0" applyAlignment="0" applyProtection="0"/>
    <x:xf numFmtId="0" fontId="125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00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00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" fillId="0" borderId="0">
      <x:alignment vertical="center"/>
    </x:xf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00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06" fillId="0" borderId="0"/>
    <x:xf numFmtId="0" fontId="106" fillId="0" borderId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2" fillId="0" borderId="143" applyNumberFormat="0" applyFill="0" applyAlignment="0" applyProtection="0"/>
    <x:xf numFmtId="0" fontId="100" fillId="24" borderId="135" applyNumberFormat="0" applyFont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00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10" fillId="26" borderId="139" applyNumberFormat="0" applyAlignment="0" applyProtection="0"/>
    <x:xf numFmtId="0" fontId="115" fillId="25" borderId="139" applyNumberFormat="0" applyAlignment="0" applyProtection="0"/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00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00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00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26" fillId="0" borderId="0"/>
    <x:xf numFmtId="0" fontId="18" fillId="0" borderId="0"/>
    <x:xf numFmtId="0" fontId="18" fillId="0" borderId="0"/>
    <x:xf numFmtId="0" fontId="126" fillId="0" borderId="0"/>
    <x:xf numFmtId="0" fontId="18" fillId="0" borderId="0"/>
    <x:xf numFmtId="0" fontId="126" fillId="0" borderId="0">
      <x:alignment vertical="center"/>
    </x:xf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26" fillId="24" borderId="135" applyNumberFormat="0" applyFont="0" applyAlignment="0" applyProtection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26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26" fillId="0" borderId="0">
      <x:alignment vertical="center"/>
    </x:xf>
    <x:xf numFmtId="0" fontId="126" fillId="0" borderId="0">
      <x:alignment vertical="center"/>
    </x:xf>
    <x:xf numFmtId="0" fontId="18" fillId="0" borderId="0"/>
    <x:xf numFmtId="0" fontId="18" fillId="0" borderId="0"/>
    <x:xf numFmtId="207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26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26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26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127" fillId="0" borderId="0"/>
    <x:xf numFmtId="0" fontId="126" fillId="24" borderId="135" applyNumberFormat="0" applyFont="0" applyAlignment="0" applyProtection="0"/>
    <x:xf numFmtId="0" fontId="126" fillId="24" borderId="135" applyNumberFormat="0" applyFont="0" applyAlignment="0" applyProtection="0"/>
    <x:xf numFmtId="0" fontId="126" fillId="24" borderId="135" applyNumberFormat="0" applyFont="0" applyAlignment="0" applyProtection="0"/>
    <x:xf numFmtId="0" fontId="9" fillId="0" borderId="0">
      <x:alignment vertical="center"/>
    </x:xf>
    <x:xf numFmtId="0" fontId="1" fillId="0" borderId="0">
      <x:alignment vertical="center"/>
    </x:xf>
    <x:xf numFmtId="9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05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26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26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26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2" fillId="0" borderId="143" applyNumberFormat="0" applyFill="0" applyAlignment="0" applyProtection="0"/>
    <x:xf numFmtId="0" fontId="126" fillId="24" borderId="135" applyNumberFormat="0" applyFont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26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10" fillId="26" borderId="139" applyNumberFormat="0" applyAlignment="0" applyProtection="0"/>
    <x:xf numFmtId="0" fontId="115" fillId="25" borderId="139" applyNumberFormat="0" applyAlignment="0" applyProtection="0"/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26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39" applyNumberFormat="0" applyAlignment="0" applyProtection="0"/>
    <x:xf numFmtId="0" fontId="18" fillId="0" borderId="0"/>
    <x:xf numFmtId="0" fontId="126" fillId="24" borderId="135" applyNumberFormat="0" applyFont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12" fillId="0" borderId="143" applyNumberFormat="0" applyFill="0" applyAlignment="0" applyProtection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39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19" fillId="26" borderId="140" applyNumberFormat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8" fillId="0" borderId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43" fontId="126" fillId="0" borderId="0" applyFont="0" applyFill="0" applyBorder="0" applyAlignment="0" applyProtection="0">
      <x:alignment vertical="center"/>
    </x:xf>
    <x:xf numFmtId="0" fontId="18" fillId="0" borderId="0"/>
    <x:xf numFmtId="178" fontId="18" fillId="0" borderId="0" applyFont="0" applyFill="0" applyBorder="0" applyAlignment="0" applyProtection="0"/>
    <x:xf numFmtId="178" fontId="18" fillId="0" borderId="0" applyFont="0" applyFill="0" applyBorder="0" applyAlignment="0" applyProtection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1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18" fillId="0" borderId="0"/>
    <x:xf numFmtId="0" fontId="18" fillId="0" borderId="0"/>
    <x:xf numFmtId="178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178" fontId="6" fillId="0" borderId="0" applyFont="0" applyFill="0" applyBorder="0" applyAlignment="0" applyProtection="0"/>
    <x:xf numFmtId="0" fontId="6" fillId="0" borderId="0"/>
    <x:xf numFmtId="41" fontId="1" fillId="0" borderId="0" applyFont="0" applyFill="0" applyBorder="0" applyAlignment="0" applyProtection="0">
      <x:alignment vertical="center"/>
    </x:xf>
    <x:xf numFmtId="0" fontId="6" fillId="0" borderId="0"/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41" fontId="48" fillId="0" borderId="0" applyFont="0" applyFill="0" applyBorder="0" applyAlignment="0" applyProtection="0"/>
    <x:xf numFmtId="41" fontId="6" fillId="0" borderId="0" applyFont="0" applyFill="0" applyBorder="0" applyAlignment="0" applyProtection="0"/>
    <x:xf numFmtId="41" fontId="1" fillId="0" borderId="0" applyFont="0" applyFill="0" applyBorder="0" applyAlignment="0" applyProtection="0">
      <x:alignment vertical="center"/>
    </x:xf>
    <x:xf numFmtId="0" fontId="1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12" fillId="0" borderId="0"/>
    <x:xf numFmtId="44" fontId="1" fillId="0" borderId="0" applyFont="0" applyFill="0" applyBorder="0" applyAlignment="0" applyProtection="0">
      <x:alignment vertical="center"/>
    </x:xf>
    <x:xf numFmtId="178" fontId="18" fillId="0" borderId="0" applyFont="0" applyFill="0" applyBorder="0" applyAlignment="0" applyProtection="0"/>
    <x:xf numFmtId="41" fontId="48" fillId="0" borderId="0" applyFont="0" applyFill="0" applyBorder="0" applyAlignment="0" applyProtection="0"/>
    <x:xf numFmtId="41" fontId="6" fillId="0" borderId="0" applyFont="0" applyFill="0" applyBorder="0" applyAlignment="0" applyProtection="0"/>
    <x:xf numFmtId="41" fontId="1" fillId="0" borderId="0" applyFont="0" applyFill="0" applyBorder="0" applyAlignment="0" applyProtection="0">
      <x:alignment vertical="center"/>
    </x:xf>
    <x:xf numFmtId="178" fontId="18" fillId="0" borderId="0" applyFont="0" applyFill="0" applyBorder="0" applyAlignment="0" applyProtection="0"/>
    <x:xf numFmtId="42" fontId="1" fillId="0" borderId="0" applyFont="0" applyFill="0" applyBorder="0" applyAlignment="0" applyProtection="0">
      <x:alignment vertical="center"/>
    </x:xf>
    <x:xf numFmtId="41" fontId="48" fillId="0" borderId="0" applyFont="0" applyFill="0" applyBorder="0" applyAlignment="0" applyProtection="0"/>
    <x:xf numFmtId="41" fontId="6" fillId="0" borderId="0" applyFont="0" applyFill="0" applyBorder="0" applyAlignment="0" applyProtection="0"/>
    <x:xf numFmtId="41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41" fontId="48" fillId="0" borderId="0" applyFont="0" applyFill="0" applyBorder="0" applyAlignment="0" applyProtection="0"/>
    <x:xf numFmtId="41" fontId="6" fillId="0" borderId="0" applyFont="0" applyFill="0" applyBorder="0" applyAlignment="0" applyProtection="0"/>
    <x:xf numFmtId="41" fontId="1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00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00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00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00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0" fontId="119" fillId="26" borderId="166" applyNumberFormat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0" fontId="100" fillId="24" borderId="164" applyNumberFormat="0" applyFont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00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0" fontId="110" fillId="26" borderId="165" applyNumberFormat="0" applyAlignment="0" applyProtection="0"/>
    <x:xf numFmtId="0" fontId="115" fillId="25" borderId="165" applyNumberFormat="0" applyAlignment="0" applyProtection="0"/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00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00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3" fontId="100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00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0" fontId="126" fillId="24" borderId="164" applyNumberFormat="0" applyFont="0" applyAlignment="0" applyProtection="0"/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26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26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26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26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126" fillId="24" borderId="164" applyNumberFormat="0" applyFont="0" applyAlignment="0" applyProtection="0"/>
    <x:xf numFmtId="0" fontId="126" fillId="24" borderId="164" applyNumberFormat="0" applyFont="0" applyAlignment="0" applyProtection="0"/>
    <x:xf numFmtId="0" fontId="126" fillId="24" borderId="164" applyNumberFormat="0" applyFont="0" applyAlignment="0" applyProtection="0"/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26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26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26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0" fontId="119" fillId="26" borderId="166" applyNumberFormat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0" fontId="126" fillId="24" borderId="164" applyNumberFormat="0" applyFont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26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0" fontId="110" fillId="26" borderId="165" applyNumberFormat="0" applyAlignment="0" applyProtection="0"/>
    <x:xf numFmtId="0" fontId="115" fillId="25" borderId="165" applyNumberFormat="0" applyAlignment="0" applyProtection="0"/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26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0" fontId="110" fillId="26" borderId="165" applyNumberFormat="0" applyAlignment="0" applyProtection="0"/>
    <x:xf numFmtId="0" fontId="126" fillId="24" borderId="164" applyNumberFormat="0" applyFont="0" applyAlignment="0" applyProtection="0"/>
    <x:xf numFmtId="41" fontId="106" fillId="0" borderId="0" applyFont="0" applyFill="0" applyBorder="0" applyAlignment="0" applyProtection="0"/>
    <x:xf numFmtId="0" fontId="112" fillId="0" borderId="167" applyNumberFormat="0" applyFill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0" fontId="115" fillId="25" borderId="165" applyNumberFormat="0" applyAlignment="0" applyProtection="0"/>
    <x:xf numFmtId="0" fontId="119" fillId="26" borderId="166" applyNumberFormat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3" fontId="126" fillId="0" borderId="0" applyFont="0" applyFill="0" applyBorder="0" applyAlignment="0" applyProtection="0">
      <x:alignment vertical="center"/>
    </x:xf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1" fontId="106" fillId="0" borderId="0" applyFont="0" applyFill="0" applyBorder="0" applyAlignment="0" applyProtection="0"/>
    <x:xf numFmtId="43" fontId="12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/>
  </x:cellStyleXfs>
  <x:cellXfs count="1450">
    <x:xf numFmtId="0" fontId="0" fillId="0" borderId="0" xfId="0">
      <x:alignment vertical="center"/>
    </x:xf>
    <x:xf numFmtId="0" fontId="2" fillId="0" borderId="0" xfId="0" quotePrefix="1" applyFont="1">
      <x:alignment vertical="center"/>
    </x:xf>
    <x:xf numFmtId="0" fontId="4" fillId="0" borderId="0" xfId="0" applyFont="1">
      <x:alignment vertical="center"/>
    </x:xf>
    <x:xf numFmtId="41" fontId="0" fillId="0" borderId="0" xfId="1" applyFont="1">
      <x:alignment vertical="center"/>
    </x:xf>
    <x:xf numFmtId="0" fontId="4" fillId="0" borderId="1" xfId="0" applyFont="1" applyBorder="1" applyAlignment="1">
      <x:alignment horizontal="center" vertical="center"/>
    </x:xf>
    <x:xf numFmtId="0" fontId="4" fillId="0" borderId="1" xfId="0" quotePrefix="1" applyFont="1" applyBorder="1" applyAlignment="1">
      <x:alignment horizontal="center" vertical="center"/>
    </x:xf>
    <x:xf numFmtId="0" fontId="0" fillId="0" borderId="0" xfId="0" quotePrefix="1" applyAlignment="1">
      <x:alignment horizontal="center" vertical="center"/>
    </x:xf>
    <x:xf numFmtId="41" fontId="5" fillId="0" borderId="0" xfId="1" applyFont="1">
      <x:alignment vertical="center"/>
    </x:xf>
    <x:xf numFmtId="0" fontId="5" fillId="0" borderId="0" xfId="0" applyFont="1">
      <x:alignment vertical="center"/>
    </x:xf>
    <x:xf numFmtId="41" fontId="4" fillId="0" borderId="1" xfId="1" applyFont="1" applyBorder="1">
      <x:alignment vertical="center"/>
    </x:xf>
    <x:xf numFmtId="41" fontId="0" fillId="0" borderId="0" xfId="1" applyFont="1" applyBorder="1" applyAlignment="1">
      <x:alignment horizontal="center" vertical="center" wrapText="1"/>
    </x:xf>
    <x:xf numFmtId="9" fontId="5" fillId="0" borderId="0" xfId="2" applyFont="1">
      <x:alignment vertical="center"/>
    </x:xf>
    <x:xf numFmtId="41" fontId="0" fillId="0" borderId="0" xfId="1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179" fontId="4" fillId="0" borderId="2" xfId="1" applyNumberFormat="1" applyFont="1" applyBorder="1">
      <x:alignment vertical="center"/>
    </x:xf>
    <x:xf numFmtId="179" fontId="5" fillId="0" borderId="0" xfId="1" applyNumberFormat="1" applyFont="1">
      <x:alignment vertical="center"/>
    </x:xf>
    <x:xf numFmtId="179" fontId="4" fillId="0" borderId="1" xfId="1" applyNumberFormat="1" applyFont="1" applyBorder="1">
      <x:alignment vertical="center"/>
    </x:xf>
    <x:xf numFmtId="0" fontId="4" fillId="2" borderId="1" xfId="0" applyFont="1" applyFill="1" applyBorder="1" applyAlignment="1">
      <x:alignment horizontal="center" vertical="center"/>
    </x:xf>
    <x:xf numFmtId="41" fontId="4" fillId="2" borderId="1" xfId="1" applyFont="1" applyFill="1" applyBorder="1">
      <x:alignment vertical="center"/>
    </x:xf>
    <x:xf numFmtId="0" fontId="9" fillId="0" borderId="0" xfId="3" applyFont="1" applyAlignment="1">
      <x:alignment horizontal="center" vertical="center"/>
    </x:xf>
    <x:xf numFmtId="0" fontId="1" fillId="0" borderId="0" xfId="7" applyAlignment="1">
      <x:alignment horizontal="center" vertical="center"/>
    </x:xf>
    <x:xf numFmtId="0" fontId="1" fillId="0" borderId="0" xfId="7">
      <x:alignment vertical="center"/>
    </x:xf>
    <x:xf numFmtId="0" fontId="1" fillId="0" borderId="20" xfId="7" applyBorder="1">
      <x:alignment vertical="center"/>
    </x:xf>
    <x:xf numFmtId="184" fontId="21" fillId="0" borderId="20" xfId="9" applyNumberFormat="1" applyFont="1" applyBorder="1" applyAlignment="1">
      <x:alignment horizontal="center" vertical="center"/>
    </x:xf>
    <x:xf numFmtId="0" fontId="24" fillId="0" borderId="0" xfId="7" applyFont="1" applyAlignment="1">
      <x:alignment horizontal="left" vertical="center"/>
    </x:xf>
    <x:xf numFmtId="0" fontId="29" fillId="0" borderId="0" xfId="13" applyFont="1"/>
    <x:xf numFmtId="0" fontId="33" fillId="0" borderId="0" xfId="7" applyFont="1" applyAlignment="1">
      <x:alignment horizontal="left" vertical="center"/>
    </x:xf>
    <x:xf numFmtId="0" fontId="34" fillId="0" borderId="0" xfId="7" applyFont="1" applyAlignment="1">
      <x:alignment horizontal="left" vertical="center"/>
    </x:xf>
    <x:xf numFmtId="0" fontId="0" fillId="0" borderId="0" xfId="0" applyAlignment="1">
      <x:alignment horizontal="center" vertical="center"/>
    </x:xf>
    <x:xf numFmtId="0" fontId="1" fillId="14" borderId="0" xfId="7" applyFill="1">
      <x:alignment vertical="center"/>
    </x:xf>
    <x:xf numFmtId="0" fontId="32" fillId="0" borderId="0" xfId="7" applyFont="1">
      <x:alignment vertical="center"/>
    </x:xf>
    <x:xf numFmtId="0" fontId="6" fillId="0" borderId="0" xfId="15"/>
    <x:xf numFmtId="0" fontId="6" fillId="0" borderId="1" xfId="15" applyBorder="1" applyAlignment="1">
      <x:alignment horizontal="center" vertical="center" wrapText="1"/>
    </x:xf>
    <x:xf numFmtId="0" fontId="6" fillId="0" borderId="32" xfId="15" applyBorder="1" applyAlignment="1">
      <x:alignment horizontal="center" vertical="center" wrapText="1"/>
    </x:xf>
    <x:xf numFmtId="0" fontId="6" fillId="0" borderId="37" xfId="15" applyBorder="1" applyAlignment="1">
      <x:alignment horizontal="center" vertical="center" wrapText="1"/>
    </x:xf>
    <x:xf numFmtId="0" fontId="40" fillId="0" borderId="0" xfId="15" applyFont="1" applyAlignment="1">
      <x:alignment horizontal="center" vertical="center" wrapText="1"/>
    </x:xf>
    <x:xf numFmtId="0" fontId="6" fillId="0" borderId="0" xfId="15" applyAlignment="1">
      <x:alignment horizontal="center" vertical="center" wrapText="1"/>
    </x:xf>
    <x:xf numFmtId="0" fontId="42" fillId="0" borderId="0" xfId="15" applyFont="1" applyAlignment="1">
      <x:alignment horizontal="center" vertical="center" wrapText="1"/>
    </x:xf>
    <x:xf numFmtId="0" fontId="40" fillId="0" borderId="0" xfId="15" applyFont="1" applyAlignment="1">
      <x:alignment vertical="center" wrapText="1"/>
    </x:xf>
    <x:xf numFmtId="0" fontId="6" fillId="0" borderId="52" xfId="15" applyBorder="1" applyAlignment="1">
      <x:alignment horizontal="center" vertical="center" wrapText="1"/>
    </x:xf>
    <x:xf numFmtId="0" fontId="6" fillId="0" borderId="52" xfId="15" applyBorder="1"/>
    <x:xf numFmtId="0" fontId="23" fillId="0" borderId="37" xfId="15" applyFont="1" applyBorder="1" applyAlignment="1">
      <x:alignment horizontal="center" vertical="center" wrapText="1"/>
    </x:xf>
    <x:xf numFmtId="0" fontId="6" fillId="0" borderId="0" xfId="17" applyAlignment="1">
      <x:alignment vertical="center"/>
    </x:xf>
    <x:xf numFmtId="0" fontId="6" fillId="0" borderId="0" xfId="17" applyAlignment="1">
      <x:alignment vertical="center" shrinkToFit="1"/>
    </x:xf>
    <x:xf numFmtId="0" fontId="36" fillId="0" borderId="0" xfId="17" applyFont="1" applyAlignment="1">
      <x:alignment vertical="center"/>
    </x:xf>
    <x:xf numFmtId="0" fontId="47" fillId="0" borderId="0" xfId="17" applyFont="1" applyAlignment="1">
      <x:alignment vertical="center"/>
    </x:xf>
    <x:xf numFmtId="0" fontId="47" fillId="0" borderId="0" xfId="17" applyFont="1" applyAlignment="1">
      <x:alignment vertical="center" shrinkToFit="1"/>
    </x:xf>
    <x:xf numFmtId="0" fontId="47" fillId="6" borderId="0" xfId="18" applyFont="1" applyFill="1" applyAlignment="1">
      <x:alignment vertical="center"/>
    </x:xf>
    <x:xf numFmtId="0" fontId="47" fillId="0" borderId="0" xfId="18" applyFont="1" applyAlignment="1">
      <x:alignment vertical="center"/>
    </x:xf>
    <x:xf numFmtId="0" fontId="47" fillId="18" borderId="80" xfId="18" applyFont="1" applyFill="1" applyBorder="1" applyAlignment="1">
      <x:alignment horizontal="center" vertical="center"/>
    </x:xf>
    <x:xf numFmtId="0" fontId="52" fillId="18" borderId="81" xfId="18" applyFont="1" applyFill="1" applyBorder="1" applyAlignment="1">
      <x:alignment horizontal="center" vertical="center"/>
    </x:xf>
    <x:xf numFmtId="0" fontId="47" fillId="6" borderId="82" xfId="18" applyFont="1" applyFill="1" applyBorder="1" applyAlignment="1">
      <x:alignment horizontal="center" vertical="center"/>
    </x:xf>
    <x:xf numFmtId="0" fontId="53" fillId="6" borderId="83" xfId="18" applyFont="1" applyFill="1" applyBorder="1" applyAlignment="1">
      <x:alignment horizontal="center" vertical="center"/>
    </x:xf>
    <x:xf numFmtId="0" fontId="53" fillId="0" borderId="84" xfId="18" applyFont="1" applyBorder="1" applyAlignment="1">
      <x:alignment horizontal="center" vertical="center"/>
    </x:xf>
    <x:xf numFmtId="0" fontId="53" fillId="0" borderId="68" xfId="18" applyFont="1" applyBorder="1" applyAlignment="1">
      <x:alignment horizontal="center" vertical="center"/>
    </x:xf>
    <x:xf numFmtId="41" fontId="47" fillId="0" borderId="70" xfId="19" applyFont="1" applyFill="1" applyBorder="1" applyAlignment="1">
      <x:alignment vertical="center"/>
    </x:xf>
    <x:xf numFmtId="41" fontId="47" fillId="0" borderId="84" xfId="19" applyFont="1" applyFill="1" applyBorder="1" applyAlignment="1">
      <x:alignment vertical="center"/>
    </x:xf>
    <x:xf numFmtId="41" fontId="47" fillId="0" borderId="85" xfId="19" applyFont="1" applyFill="1" applyBorder="1" applyAlignment="1">
      <x:alignment vertical="center"/>
    </x:xf>
    <x:xf numFmtId="0" fontId="47" fillId="6" borderId="87" xfId="18" applyFont="1" applyFill="1" applyBorder="1" applyAlignment="1">
      <x:alignment horizontal="center" vertical="center"/>
    </x:xf>
    <x:xf numFmtId="0" fontId="53" fillId="6" borderId="38" xfId="18" applyFont="1" applyFill="1" applyBorder="1" applyAlignment="1">
      <x:alignment vertical="center"/>
    </x:xf>
    <x:xf numFmtId="41" fontId="47" fillId="0" borderId="88" xfId="19" applyFont="1" applyFill="1" applyBorder="1" applyAlignment="1">
      <x:alignment vertical="center"/>
    </x:xf>
    <x:xf numFmtId="0" fontId="53" fillId="0" borderId="3" xfId="18" applyFont="1" applyBorder="1" applyAlignment="1">
      <x:alignment horizontal="center" vertical="center"/>
    </x:xf>
    <x:xf numFmtId="0" fontId="53" fillId="0" borderId="39" xfId="18" applyFont="1" applyBorder="1" applyAlignment="1">
      <x:alignment horizontal="center" vertical="center"/>
    </x:xf>
    <x:xf numFmtId="41" fontId="53" fillId="0" borderId="4" xfId="19" applyFont="1" applyFill="1" applyBorder="1" applyAlignment="1">
      <x:alignment vertical="center"/>
    </x:xf>
    <x:xf numFmtId="41" fontId="53" fillId="0" borderId="89" xfId="19" applyFont="1" applyFill="1" applyBorder="1" applyAlignment="1">
      <x:alignment vertical="center"/>
    </x:xf>
    <x:xf numFmtId="41" fontId="53" fillId="0" borderId="88" xfId="19" applyFont="1" applyFill="1" applyBorder="1" applyAlignment="1">
      <x:alignment vertical="center"/>
    </x:xf>
    <x:xf numFmtId="0" fontId="53" fillId="6" borderId="46" xfId="18" applyFont="1" applyFill="1" applyBorder="1" applyAlignment="1">
      <x:alignment horizontal="center" vertical="center"/>
    </x:xf>
    <x:xf numFmtId="0" fontId="53" fillId="0" borderId="4" xfId="18" applyFont="1" applyBorder="1" applyAlignment="1">
      <x:alignment horizontal="center" vertical="center"/>
    </x:xf>
    <x:xf numFmtId="0" fontId="53" fillId="0" borderId="91" xfId="18" applyFont="1" applyBorder="1" applyAlignment="1">
      <x:alignment horizontal="center" vertical="center"/>
    </x:xf>
    <x:xf numFmtId="0" fontId="53" fillId="6" borderId="55" xfId="18" applyFont="1" applyFill="1" applyBorder="1" applyAlignment="1">
      <x:alignment vertical="center"/>
    </x:xf>
    <x:xf numFmtId="0" fontId="53" fillId="6" borderId="38" xfId="18" applyFont="1" applyFill="1" applyBorder="1" applyAlignment="1">
      <x:alignment horizontal="center" vertical="center"/>
    </x:xf>
    <x:xf numFmtId="0" fontId="53" fillId="0" borderId="3" xfId="18" applyFont="1" applyBorder="1" applyAlignment="1">
      <x:alignment vertical="center"/>
    </x:xf>
    <x:xf numFmtId="192" fontId="53" fillId="0" borderId="3" xfId="18" applyNumberFormat="1" applyFont="1" applyBorder="1" applyAlignment="1">
      <x:alignment horizontal="center" vertical="center" shrinkToFit="1"/>
    </x:xf>
    <x:xf numFmtId="0" fontId="53" fillId="0" borderId="3" xfId="18" applyFont="1" applyBorder="1" applyAlignment="1">
      <x:alignment horizontal="center" vertical="center" shrinkToFit="1"/>
    </x:xf>
    <x:xf numFmtId="41" fontId="53" fillId="0" borderId="94" xfId="19" applyFont="1" applyFill="1" applyBorder="1" applyAlignment="1">
      <x:alignment vertical="center"/>
    </x:xf>
    <x:xf numFmtId="0" fontId="53" fillId="6" borderId="55" xfId="18" applyFont="1" applyFill="1" applyBorder="1" applyAlignment="1">
      <x:alignment horizontal="center" vertical="center"/>
    </x:xf>
    <x:xf numFmtId="0" fontId="47" fillId="6" borderId="95" xfId="18" applyFont="1" applyFill="1" applyBorder="1" applyAlignment="1">
      <x:alignment horizontal="center" vertical="center"/>
    </x:xf>
    <x:xf numFmtId="41" fontId="53" fillId="0" borderId="92" xfId="19" applyFont="1" applyFill="1" applyBorder="1" applyAlignment="1">
      <x:alignment vertical="center"/>
    </x:xf>
    <x:xf numFmtId="0" fontId="47" fillId="6" borderId="95" xfId="18" applyFont="1" applyFill="1" applyBorder="1" applyAlignment="1">
      <x:alignment vertical="center"/>
    </x:xf>
    <x:xf numFmtId="0" fontId="50" fillId="6" borderId="46" xfId="18" applyFont="1" applyFill="1" applyBorder="1" applyAlignment="1">
      <x:alignment horizontal="center" vertical="top"/>
    </x:xf>
    <x:xf numFmtId="0" fontId="50" fillId="6" borderId="38" xfId="18" applyFont="1" applyFill="1" applyBorder="1" applyAlignment="1">
      <x:alignment vertical="top"/>
    </x:xf>
    <x:xf numFmtId="0" fontId="50" fillId="6" borderId="38" xfId="18" applyFont="1" applyFill="1" applyBorder="1" applyAlignment="1">
      <x:alignment horizontal="center" vertical="top"/>
    </x:xf>
    <x:xf numFmtId="0" fontId="53" fillId="0" borderId="99" xfId="18" applyFont="1" applyBorder="1" applyAlignment="1">
      <x:alignment horizontal="center" vertical="center"/>
    </x:xf>
    <x:xf numFmtId="0" fontId="47" fillId="6" borderId="99" xfId="18" applyFont="1" applyFill="1" applyBorder="1" applyAlignment="1">
      <x:alignment vertical="center"/>
    </x:xf>
    <x:xf numFmtId="0" fontId="47" fillId="6" borderId="99" xfId="18" applyFont="1" applyFill="1" applyBorder="1" applyAlignment="1">
      <x:alignment horizontal="center" vertical="center"/>
    </x:xf>
    <x:xf numFmtId="0" fontId="47" fillId="6" borderId="100" xfId="18" applyFont="1" applyFill="1" applyBorder="1" applyAlignment="1">
      <x:alignment horizontal="center" vertical="center"/>
    </x:xf>
    <x:xf numFmtId="41" fontId="53" fillId="0" borderId="99" xfId="19" applyFont="1" applyFill="1" applyBorder="1" applyAlignment="1">
      <x:alignment vertical="center"/>
    </x:xf>
    <x:xf numFmtId="41" fontId="53" fillId="0" borderId="102" xfId="19" applyFont="1" applyFill="1" applyBorder="1" applyAlignment="1">
      <x:alignment vertical="center"/>
    </x:xf>
    <x:xf numFmtId="0" fontId="53" fillId="6" borderId="0" xfId="20" applyFont="1" applyFill="1" applyAlignment="1">
      <x:alignment horizontal="center" vertical="center"/>
    </x:xf>
    <x:xf numFmtId="0" fontId="53" fillId="0" borderId="0" xfId="20" applyFont="1" applyAlignment="1">
      <x:alignment horizontal="center" vertical="center"/>
    </x:xf>
    <x:xf numFmtId="0" fontId="53" fillId="0" borderId="0" xfId="20" applyFont="1" applyAlignment="1">
      <x:alignment horizontal="center" vertical="center" shrinkToFit="1"/>
    </x:xf>
    <x:xf numFmtId="0" fontId="6" fillId="0" borderId="0" xfId="17"/>
    <x:xf numFmtId="0" fontId="6" fillId="0" borderId="0" xfId="17" applyAlignment="1">
      <x:alignment shrinkToFit="1"/>
    </x:xf>
    <x:xf numFmtId="0" fontId="36" fillId="0" borderId="0" xfId="22" applyFont="1">
      <x:alignment vertical="center"/>
    </x:xf>
    <x:xf numFmtId="0" fontId="1" fillId="0" borderId="0" xfId="22">
      <x:alignment vertical="center"/>
    </x:xf>
    <x:xf numFmtId="0" fontId="1" fillId="0" borderId="0" xfId="22" applyAlignment="1">
      <x:alignment vertical="center" shrinkToFit="1"/>
    </x:xf>
    <x:xf numFmtId="193" fontId="47" fillId="0" borderId="84" xfId="19" applyNumberFormat="1" applyFont="1" applyFill="1" applyBorder="1" applyAlignment="1">
      <x:alignment vertical="center"/>
    </x:xf>
    <x:xf numFmtId="193" fontId="47" fillId="0" borderId="85" xfId="19" applyNumberFormat="1" applyFont="1" applyFill="1" applyBorder="1" applyAlignment="1">
      <x:alignment vertical="center"/>
    </x:xf>
    <x:xf numFmtId="193" fontId="47" fillId="0" borderId="88" xfId="19" applyNumberFormat="1" applyFont="1" applyFill="1" applyBorder="1" applyAlignment="1">
      <x:alignment vertical="center"/>
    </x:xf>
    <x:xf numFmtId="193" fontId="53" fillId="0" borderId="88" xfId="19" applyNumberFormat="1" applyFont="1" applyFill="1" applyBorder="1" applyAlignment="1">
      <x:alignment vertical="center"/>
    </x:xf>
    <x:xf numFmtId="193" fontId="47" fillId="0" borderId="4" xfId="19" applyNumberFormat="1" applyFont="1" applyFill="1" applyBorder="1" applyAlignment="1">
      <x:alignment vertical="center"/>
    </x:xf>
    <x:xf numFmtId="193" fontId="47" fillId="0" borderId="92" xfId="19" applyNumberFormat="1" applyFont="1" applyFill="1" applyBorder="1" applyAlignment="1">
      <x:alignment vertical="center"/>
    </x:xf>
    <x:xf numFmtId="193" fontId="53" fillId="0" borderId="4" xfId="19" applyNumberFormat="1" applyFont="1" applyFill="1" applyBorder="1" applyAlignment="1">
      <x:alignment vertical="center"/>
    </x:xf>
    <x:xf numFmtId="193" fontId="53" fillId="0" borderId="89" xfId="19" applyNumberFormat="1" applyFont="1" applyFill="1" applyBorder="1" applyAlignment="1">
      <x:alignment vertical="center"/>
    </x:xf>
    <x:xf numFmtId="193" fontId="53" fillId="0" borderId="94" xfId="19" applyNumberFormat="1" applyFont="1" applyFill="1" applyBorder="1" applyAlignment="1">
      <x:alignment vertical="center"/>
    </x:xf>
    <x:xf numFmtId="193" fontId="53" fillId="0" borderId="92" xfId="19" applyNumberFormat="1" applyFont="1" applyFill="1" applyBorder="1" applyAlignment="1">
      <x:alignment vertical="center"/>
    </x:xf>
    <x:xf numFmtId="0" fontId="61" fillId="0" borderId="0" xfId="22" applyFont="1" applyAlignment="1">
      <x:alignment horizontal="center" vertical="center"/>
    </x:xf>
    <x:xf numFmtId="0" fontId="8" fillId="0" borderId="0" xfId="22" applyFont="1">
      <x:alignment vertical="center"/>
    </x:xf>
    <x:xf numFmtId="41" fontId="2" fillId="0" borderId="0" xfId="22" applyNumberFormat="1" applyFont="1" applyAlignment="1">
      <x:alignment horizontal="center" vertical="center"/>
    </x:xf>
    <x:xf numFmtId="176" fontId="47" fillId="0" borderId="84" xfId="19" applyNumberFormat="1" applyFont="1" applyFill="1" applyBorder="1" applyAlignment="1">
      <x:alignment vertical="center"/>
    </x:xf>
    <x:xf numFmtId="176" fontId="47" fillId="0" borderId="85" xfId="19" applyNumberFormat="1" applyFont="1" applyFill="1" applyBorder="1" applyAlignment="1">
      <x:alignment vertical="center"/>
    </x:xf>
    <x:xf numFmtId="176" fontId="47" fillId="0" borderId="88" xfId="19" applyNumberFormat="1" applyFont="1" applyFill="1" applyBorder="1" applyAlignment="1">
      <x:alignment vertical="center"/>
    </x:xf>
    <x:xf numFmtId="176" fontId="53" fillId="0" borderId="4" xfId="19" applyNumberFormat="1" applyFont="1" applyFill="1" applyBorder="1" applyAlignment="1">
      <x:alignment vertical="center"/>
    </x:xf>
    <x:xf numFmtId="176" fontId="53" fillId="0" borderId="89" xfId="19" applyNumberFormat="1" applyFont="1" applyFill="1" applyBorder="1" applyAlignment="1">
      <x:alignment vertical="center"/>
    </x:xf>
    <x:xf numFmtId="176" fontId="53" fillId="0" borderId="88" xfId="19" applyNumberFormat="1" applyFont="1" applyFill="1" applyBorder="1" applyAlignment="1">
      <x:alignment vertical="center"/>
    </x:xf>
    <x:xf numFmtId="176" fontId="47" fillId="0" borderId="4" xfId="19" applyNumberFormat="1" applyFont="1" applyFill="1" applyBorder="1" applyAlignment="1">
      <x:alignment vertical="center"/>
    </x:xf>
    <x:xf numFmtId="176" fontId="47" fillId="0" borderId="92" xfId="19" applyNumberFormat="1" applyFont="1" applyFill="1" applyBorder="1" applyAlignment="1">
      <x:alignment vertical="center"/>
    </x:xf>
    <x:xf numFmtId="176" fontId="53" fillId="0" borderId="94" xfId="19" applyNumberFormat="1" applyFont="1" applyFill="1" applyBorder="1" applyAlignment="1">
      <x:alignment vertical="center"/>
    </x:xf>
    <x:xf numFmtId="176" fontId="53" fillId="0" borderId="92" xfId="19" applyNumberFormat="1" applyFont="1" applyFill="1" applyBorder="1" applyAlignment="1">
      <x:alignment vertical="center"/>
    </x:xf>
    <x:xf numFmtId="176" fontId="53" fillId="0" borderId="99" xfId="19" applyNumberFormat="1" applyFont="1" applyFill="1" applyBorder="1" applyAlignment="1">
      <x:alignment vertical="center"/>
    </x:xf>
    <x:xf numFmtId="0" fontId="36" fillId="0" borderId="104" xfId="22" applyFont="1" applyBorder="1">
      <x:alignment vertical="center"/>
    </x:xf>
    <x:xf numFmtId="0" fontId="1" fillId="0" borderId="105" xfId="22" applyBorder="1">
      <x:alignment vertical="center"/>
    </x:xf>
    <x:xf numFmtId="0" fontId="1" fillId="0" borderId="105" xfId="22" applyBorder="1" applyAlignment="1">
      <x:alignment vertical="center" shrinkToFit="1"/>
    </x:xf>
    <x:xf numFmtId="0" fontId="61" fillId="0" borderId="105" xfId="22" applyFont="1" applyBorder="1" applyAlignment="1">
      <x:alignment horizontal="center" vertical="center"/>
    </x:xf>
    <x:xf numFmtId="0" fontId="8" fillId="0" borderId="105" xfId="22" applyFont="1" applyBorder="1">
      <x:alignment vertical="center"/>
    </x:xf>
    <x:xf numFmtId="41" fontId="2" fillId="0" borderId="105" xfId="22" applyNumberFormat="1" applyFont="1" applyBorder="1" applyAlignment="1">
      <x:alignment horizontal="center" vertical="center"/>
    </x:xf>
    <x:xf numFmtId="176" fontId="47" fillId="0" borderId="70" xfId="19" applyNumberFormat="1" applyFont="1" applyFill="1" applyBorder="1" applyAlignment="1">
      <x:alignment vertical="center"/>
    </x:xf>
    <x:xf numFmtId="0" fontId="57" fillId="9" borderId="19" xfId="22" applyFont="1" applyFill="1" applyBorder="1">
      <x:alignment vertical="center"/>
    </x:xf>
    <x:xf numFmtId="194" fontId="62" fillId="20" borderId="88" xfId="23" applyNumberFormat="1" applyFont="1" applyFill="1" applyBorder="1" applyAlignment="1">
      <x:alignment vertical="center"/>
    </x:xf>
    <x:xf numFmtId="176" fontId="47" fillId="6" borderId="23" xfId="19" applyNumberFormat="1" applyFont="1" applyFill="1" applyBorder="1" applyAlignment="1">
      <x:alignment vertical="center"/>
    </x:xf>
    <x:xf numFmtId="194" fontId="63" fillId="9" borderId="108" xfId="23" applyNumberFormat="1" applyFont="1" applyFill="1" applyBorder="1" applyAlignment="1">
      <x:alignment vertical="center"/>
    </x:xf>
    <x:xf numFmtId="0" fontId="40" fillId="0" borderId="0" xfId="22" applyFont="1">
      <x:alignment vertical="center"/>
    </x:xf>
    <x:xf numFmtId="195" fontId="47" fillId="0" borderId="85" xfId="19" applyNumberFormat="1" applyFont="1" applyFill="1" applyBorder="1" applyAlignment="1">
      <x:alignment vertical="center"/>
    </x:xf>
    <x:xf numFmtId="195" fontId="47" fillId="0" borderId="88" xfId="19" applyNumberFormat="1" applyFont="1" applyFill="1" applyBorder="1" applyAlignment="1">
      <x:alignment vertical="center"/>
    </x:xf>
    <x:xf numFmtId="195" fontId="53" fillId="0" borderId="88" xfId="19" applyNumberFormat="1" applyFont="1" applyFill="1" applyBorder="1" applyAlignment="1">
      <x:alignment vertical="center"/>
    </x:xf>
    <x:xf numFmtId="195" fontId="47" fillId="0" borderId="92" xfId="19" applyNumberFormat="1" applyFont="1" applyFill="1" applyBorder="1" applyAlignment="1">
      <x:alignment vertical="center"/>
    </x:xf>
    <x:xf numFmtId="195" fontId="53" fillId="0" borderId="89" xfId="19" applyNumberFormat="1" applyFont="1" applyFill="1" applyBorder="1" applyAlignment="1">
      <x:alignment vertical="center"/>
    </x:xf>
    <x:xf numFmtId="195" fontId="53" fillId="0" borderId="94" xfId="19" applyNumberFormat="1" applyFont="1" applyFill="1" applyBorder="1" applyAlignment="1">
      <x:alignment vertical="center"/>
    </x:xf>
    <x:xf numFmtId="195" fontId="53" fillId="0" borderId="92" xfId="19" applyNumberFormat="1" applyFont="1" applyFill="1" applyBorder="1" applyAlignment="1">
      <x:alignment vertical="center"/>
    </x:xf>
    <x:xf numFmtId="0" fontId="56" fillId="6" borderId="0" xfId="22" applyFont="1" applyFill="1" applyAlignment="1">
      <x:alignment horizontal="center" vertical="center"/>
    </x:xf>
    <x:xf numFmtId="0" fontId="57" fillId="6" borderId="0" xfId="22" applyFont="1" applyFill="1" applyAlignment="1">
      <x:alignment horizontal="center" vertical="center"/>
    </x:xf>
    <x:xf numFmtId="0" fontId="57" fillId="0" borderId="0" xfId="22" applyFont="1" applyAlignment="1">
      <x:alignment horizontal="center" vertical="center"/>
    </x:xf>
    <x:xf numFmtId="0" fontId="57" fillId="0" borderId="0" xfId="22" applyFont="1" applyAlignment="1">
      <x:alignment horizontal="center" vertical="center" shrinkToFit="1"/>
    </x:xf>
    <x:xf numFmtId="41" fontId="56" fillId="0" borderId="0" xfId="23" applyFont="1" applyFill="1" applyBorder="1" applyAlignment="1">
      <x:alignment vertical="center"/>
    </x:xf>
    <x:xf numFmtId="196" fontId="56" fillId="0" borderId="0" xfId="23" applyNumberFormat="1" applyFont="1" applyFill="1" applyBorder="1" applyAlignment="1">
      <x:alignment vertical="center"/>
    </x:xf>
    <x:xf numFmtId="0" fontId="36" fillId="0" borderId="109" xfId="22" applyFont="1" applyBorder="1">
      <x:alignment vertical="center"/>
    </x:xf>
    <x:xf numFmtId="0" fontId="1" fillId="0" borderId="110" xfId="22" applyBorder="1">
      <x:alignment vertical="center"/>
    </x:xf>
    <x:xf numFmtId="0" fontId="1" fillId="0" borderId="110" xfId="22" applyBorder="1" applyAlignment="1">
      <x:alignment vertical="center" shrinkToFit="1"/>
    </x:xf>
    <x:xf numFmtId="0" fontId="61" fillId="0" borderId="110" xfId="22" applyFont="1" applyBorder="1" applyAlignment="1">
      <x:alignment horizontal="center" vertical="center"/>
    </x:xf>
    <x:xf numFmtId="0" fontId="8" fillId="0" borderId="110" xfId="22" applyFont="1" applyBorder="1">
      <x:alignment vertical="center"/>
    </x:xf>
    <x:xf numFmtId="41" fontId="2" fillId="0" borderId="110" xfId="22" applyNumberFormat="1" applyFont="1" applyBorder="1" applyAlignment="1">
      <x:alignment horizontal="center" vertical="center"/>
    </x:xf>
    <x:xf numFmtId="183" fontId="62" fillId="20" borderId="88" xfId="23" applyNumberFormat="1" applyFont="1" applyFill="1" applyBorder="1" applyAlignment="1">
      <x:alignment vertical="center"/>
    </x:xf>
    <x:xf numFmtId="0" fontId="69" fillId="0" borderId="0" xfId="15" applyFont="1" applyAlignment="1">
      <x:alignment vertical="center"/>
    </x:xf>
    <x:xf numFmtId="0" fontId="4" fillId="12" borderId="1" xfId="4" applyFont="1" applyFill="1" applyBorder="1" applyAlignment="1">
      <x:alignment horizontal="center" vertical="center"/>
    </x:xf>
    <x:xf numFmtId="0" fontId="11" fillId="6" borderId="1" xfId="15" applyFont="1" applyFill="1" applyBorder="1" applyAlignment="1">
      <x:alignment horizontal="center" vertical="center" wrapText="1"/>
    </x:xf>
    <x:xf numFmtId="0" fontId="11" fillId="6" borderId="4" xfId="15" applyFont="1" applyFill="1" applyBorder="1" applyAlignment="1">
      <x:alignment horizontal="center" vertical="center" wrapText="1"/>
    </x:xf>
    <x:xf numFmtId="0" fontId="39" fillId="6" borderId="99" xfId="15" applyFont="1" applyFill="1" applyBorder="1" applyAlignment="1">
      <x:alignment horizontal="center" vertical="center" wrapText="1"/>
    </x:xf>
    <x:xf numFmtId="0" fontId="32" fillId="10" borderId="0" xfId="7" applyFont="1" applyFill="1" applyAlignment="1">
      <x:alignment horizontal="center" vertical="center"/>
    </x:xf>
    <x:xf numFmtId="0" fontId="18" fillId="0" borderId="0" xfId="26"/>
    <x:xf numFmtId="0" fontId="25" fillId="6" borderId="0" xfId="0" applyFont="1" applyFill="1" applyAlignment="1">
      <x:alignment horizontal="center" vertical="center"/>
    </x:xf>
    <x:xf numFmtId="0" fontId="73" fillId="0" borderId="0" xfId="26" applyFont="1"/>
    <x:xf numFmtId="0" fontId="71" fillId="0" borderId="0" xfId="26" applyFont="1" applyAlignment="1">
      <x:alignment horizontal="center" vertical="center"/>
    </x:xf>
    <x:xf numFmtId="0" fontId="2" fillId="18" borderId="1" xfId="26" applyFont="1" applyFill="1" applyBorder="1" applyAlignment="1">
      <x:alignment horizontal="center" vertical="center" wrapText="1"/>
    </x:xf>
    <x:xf numFmtId="0" fontId="4" fillId="6" borderId="1" xfId="26" applyFont="1" applyFill="1" applyBorder="1" applyAlignment="1">
      <x:alignment horizontal="left" vertical="center"/>
    </x:xf>
    <x:xf numFmtId="0" fontId="79" fillId="0" borderId="0" xfId="7" applyFont="1">
      <x:alignment vertical="center"/>
    </x:xf>
    <x:xf numFmtId="0" fontId="19" fillId="0" borderId="0" xfId="4" applyFont="1" applyAlignment="1">
      <x:alignment vertical="center"/>
    </x:xf>
    <x:xf numFmtId="0" fontId="6" fillId="0" borderId="0" xfId="7" applyFont="1" applyAlignment="1">
      <x:alignment horizontal="center" vertical="center"/>
    </x:xf>
    <x:xf numFmtId="0" fontId="42" fillId="0" borderId="0" xfId="7" applyFont="1" applyAlignment="1">
      <x:alignment horizontal="left" vertical="center"/>
    </x:xf>
    <x:xf numFmtId="0" fontId="6" fillId="9" borderId="113" xfId="7" applyFont="1" applyFill="1" applyBorder="1" applyAlignment="1">
      <x:alignment horizontal="center" vertical="center"/>
    </x:xf>
    <x:xf numFmtId="0" fontId="6" fillId="9" borderId="88" xfId="7" applyFont="1" applyFill="1" applyBorder="1" applyAlignment="1">
      <x:alignment horizontal="center" vertical="center"/>
    </x:xf>
    <x:xf numFmtId="0" fontId="6" fillId="9" borderId="116" xfId="7" applyFont="1" applyFill="1" applyBorder="1" applyAlignment="1">
      <x:alignment horizontal="center" vertical="center"/>
    </x:xf>
    <x:xf numFmtId="0" fontId="6" fillId="9" borderId="99" xfId="7" applyFont="1" applyFill="1" applyBorder="1" applyAlignment="1">
      <x:alignment horizontal="center" vertical="center"/>
    </x:xf>
    <x:xf numFmtId="0" fontId="6" fillId="9" borderId="102" xfId="7" applyFont="1" applyFill="1" applyBorder="1" applyAlignment="1">
      <x:alignment horizontal="center" vertical="center"/>
    </x:xf>
    <x:xf numFmtId="0" fontId="0" fillId="6" borderId="0" xfId="0" applyFill="1" applyAlignment="1">
      <x:alignment horizontal="center" vertical="center"/>
    </x:xf>
    <x:xf numFmtId="0" fontId="10" fillId="6" borderId="1" xfId="7" applyFont="1" applyFill="1" applyBorder="1" applyAlignment="1">
      <x:alignment horizontal="center" vertical="center" wrapText="1"/>
    </x:xf>
    <x:xf numFmtId="0" fontId="10" fillId="6" borderId="1" xfId="7" applyFont="1" applyFill="1" applyBorder="1" applyAlignment="1">
      <x:alignment horizontal="center" vertical="center"/>
    </x:xf>
    <x:xf numFmtId="0" fontId="8" fillId="0" borderId="0" xfId="0" applyFont="1" applyAlignment="1">
      <x:alignment horizontal="left" vertical="center"/>
    </x:xf>
    <x:xf numFmtId="0" fontId="2" fillId="7" borderId="1" xfId="9" applyFont="1" applyFill="1" applyBorder="1" applyAlignment="1">
      <x:alignment horizontal="center" vertical="center"/>
    </x:xf>
    <x:xf numFmtId="0" fontId="31" fillId="0" borderId="0" xfId="7" applyFont="1">
      <x:alignment vertical="center"/>
    </x:xf>
    <x:xf numFmtId="41" fontId="29" fillId="0" borderId="0" xfId="1" applyFont="1" applyAlignment="1"/>
    <x:xf numFmtId="0" fontId="88" fillId="0" borderId="0" xfId="13" applyFont="1"/>
    <x:xf numFmtId="0" fontId="64" fillId="0" borderId="0" xfId="7" applyFont="1" applyAlignment="1">
      <x:alignment horizontal="center" vertical="center"/>
    </x:xf>
    <x:xf numFmtId="0" fontId="64" fillId="0" borderId="0" xfId="7" applyFont="1">
      <x:alignment vertical="center"/>
    </x:xf>
    <x:xf numFmtId="41" fontId="1" fillId="0" borderId="0" xfId="1">
      <x:alignment vertical="center"/>
    </x:xf>
    <x:xf numFmtId="0" fontId="64" fillId="14" borderId="0" xfId="7" applyFont="1" applyFill="1">
      <x:alignment vertical="center"/>
    </x:xf>
    <x:xf numFmtId="41" fontId="1" fillId="14" borderId="0" xfId="1" applyFill="1">
      <x:alignment vertical="center"/>
    </x:xf>
    <x:xf numFmtId="41" fontId="1" fillId="0" borderId="0" xfId="1" applyAlignment="1">
      <x:alignment horizontal="center" vertical="center"/>
    </x:xf>
    <x:xf numFmtId="0" fontId="26" fillId="0" borderId="0" xfId="26" applyFont="1"/>
    <x:xf numFmtId="189" fontId="37" fillId="0" borderId="0" xfId="4" applyNumberFormat="1" applyFont="1" applyAlignment="1">
      <x:alignment horizontal="center" vertical="center"/>
    </x:xf>
    <x:xf numFmtId="0" fontId="75" fillId="6" borderId="1" xfId="26" applyFont="1" applyFill="1" applyBorder="1" applyAlignment="1">
      <x:alignment horizontal="center" vertical="center"/>
    </x:xf>
    <x:xf numFmtId="180" fontId="70" fillId="0" borderId="0" xfId="0" applyNumberFormat="1" applyFont="1">
      <x:alignment vertical="center"/>
    </x:xf>
    <x:xf numFmtId="180" fontId="70" fillId="0" borderId="0" xfId="0" applyNumberFormat="1" applyFont="1" applyAlignment="1">
      <x:alignment horizontal="right" vertical="center"/>
    </x:xf>
    <x:xf numFmtId="9" fontId="70" fillId="0" borderId="0" xfId="2" applyFont="1" applyBorder="1" applyAlignment="1">
      <x:alignment horizontal="right" vertical="center"/>
    </x:xf>
    <x:xf numFmtId="180" fontId="89" fillId="0" borderId="0" xfId="0" applyNumberFormat="1" applyFont="1">
      <x:alignment vertical="center"/>
    </x:xf>
    <x:xf numFmtId="41" fontId="70" fillId="0" borderId="0" xfId="1" applyFont="1" applyBorder="1" applyAlignment="1">
      <x:alignment horizontal="right" vertical="center"/>
    </x:xf>
    <x:xf numFmtId="180" fontId="90" fillId="0" borderId="0" xfId="0" applyNumberFormat="1" applyFont="1" applyAlignment="1">
      <x:alignment horizontal="right" vertical="center"/>
    </x:xf>
    <x:xf numFmtId="180" fontId="70" fillId="0" borderId="0" xfId="0" applyNumberFormat="1" applyFont="1" applyAlignment="1">
      <x:alignment horizontal="left" vertical="center"/>
    </x:xf>
    <x:xf numFmtId="180" fontId="91" fillId="23" borderId="0" xfId="0" applyNumberFormat="1" applyFont="1" applyFill="1">
      <x:alignment vertical="center"/>
    </x:xf>
    <x:xf numFmtId="180" fontId="91" fillId="23" borderId="0" xfId="0" applyNumberFormat="1" applyFont="1" applyFill="1" applyAlignment="1">
      <x:alignment horizontal="right" vertical="center"/>
    </x:xf>
    <x:xf numFmtId="180" fontId="91" fillId="23" borderId="0" xfId="0" quotePrefix="1" applyNumberFormat="1" applyFont="1" applyFill="1" applyAlignment="1">
      <x:alignment horizontal="right" vertical="center"/>
    </x:xf>
    <x:xf numFmtId="180" fontId="91" fillId="0" borderId="0" xfId="0" applyNumberFormat="1" applyFont="1">
      <x:alignment vertical="center"/>
    </x:xf>
    <x:xf numFmtId="180" fontId="91" fillId="4" borderId="0" xfId="0" applyNumberFormat="1" applyFont="1" applyFill="1">
      <x:alignment vertical="center"/>
    </x:xf>
    <x:xf numFmtId="180" fontId="91" fillId="4" borderId="0" xfId="0" applyNumberFormat="1" applyFont="1" applyFill="1" applyAlignment="1">
      <x:alignment horizontal="right" vertical="center"/>
    </x:xf>
    <x:xf numFmtId="180" fontId="91" fillId="10" borderId="0" xfId="0" applyNumberFormat="1" applyFont="1" applyFill="1">
      <x:alignment vertical="center"/>
    </x:xf>
    <x:xf numFmtId="180" fontId="91" fillId="10" borderId="0" xfId="0" applyNumberFormat="1" applyFont="1" applyFill="1" applyAlignment="1">
      <x:alignment horizontal="right" vertical="center"/>
    </x:xf>
    <x:xf numFmtId="180" fontId="69" fillId="0" borderId="0" xfId="0" applyNumberFormat="1" applyFont="1">
      <x:alignment vertical="center"/>
    </x:xf>
    <x:xf numFmtId="180" fontId="70" fillId="6" borderId="0" xfId="0" applyNumberFormat="1" applyFont="1" applyFill="1">
      <x:alignment vertical="center"/>
    </x:xf>
    <x:xf numFmtId="180" fontId="70" fillId="10" borderId="0" xfId="0" applyNumberFormat="1" applyFont="1" applyFill="1">
      <x:alignment vertical="center"/>
    </x:xf>
    <x:xf numFmtId="180" fontId="70" fillId="10" borderId="0" xfId="0" applyNumberFormat="1" applyFont="1" applyFill="1" applyAlignment="1">
      <x:alignment horizontal="right" vertical="center"/>
    </x:xf>
    <x:xf numFmtId="180" fontId="70" fillId="0" borderId="0" xfId="0" applyNumberFormat="1" applyFont="1" applyAlignment="1">
      <x:alignment horizontal="left" vertical="center" indent="1"/>
    </x:xf>
    <x:xf numFmtId="180" fontId="70" fillId="6" borderId="0" xfId="0" applyNumberFormat="1" applyFont="1" applyFill="1" applyAlignment="1">
      <x:alignment horizontal="right" vertical="center"/>
    </x:xf>
    <x:xf numFmtId="9" fontId="70" fillId="0" borderId="0" xfId="2" applyFont="1" applyBorder="1" applyAlignment="1">
      <x:alignment vertical="center"/>
    </x:xf>
    <x:xf numFmtId="197" fontId="70" fillId="0" borderId="0" xfId="2" applyNumberFormat="1" applyFont="1" applyBorder="1" applyAlignment="1">
      <x:alignment horizontal="right" vertical="center"/>
    </x:xf>
    <x:xf numFmtId="0" fontId="18" fillId="6" borderId="0" xfId="0" applyFont="1" applyFill="1" applyAlignment="1">
      <x:alignment horizontal="center" vertical="center"/>
    </x:xf>
    <x:xf numFmtId="0" fontId="25" fillId="0" borderId="0" xfId="0" applyFont="1" applyAlignment="1">
      <x:alignment horizontal="center" vertical="center"/>
    </x:xf>
    <x:xf numFmtId="0" fontId="92" fillId="6" borderId="0" xfId="0" applyFont="1" applyFill="1" applyAlignment="1">
      <x:alignment horizontal="center" vertical="center"/>
    </x:xf>
    <x:xf numFmtId="0" fontId="92" fillId="10" borderId="0" xfId="0" applyFont="1" applyFill="1" applyAlignment="1">
      <x:alignment horizontal="center" vertical="center"/>
    </x:xf>
    <x:xf numFmtId="180" fontId="93" fillId="10" borderId="0" xfId="0" applyNumberFormat="1" applyFont="1" applyFill="1" applyAlignment="1">
      <x:alignment horizontal="right" vertical="center"/>
    </x:xf>
    <x:xf numFmtId="197" fontId="70" fillId="6" borderId="0" xfId="2" applyNumberFormat="1" applyFont="1" applyFill="1" applyBorder="1" applyAlignment="1">
      <x:alignment horizontal="right" vertical="center"/>
    </x:xf>
    <x:xf numFmtId="9" fontId="91" fillId="4" borderId="0" xfId="2" applyFont="1" applyFill="1" applyBorder="1" applyAlignment="1">
      <x:alignment vertical="center"/>
    </x:xf>
    <x:xf numFmtId="197" fontId="91" fillId="4" borderId="0" xfId="2" applyNumberFormat="1" applyFont="1" applyFill="1" applyBorder="1" applyAlignment="1">
      <x:alignment horizontal="right" vertical="center"/>
    </x:xf>
    <x:xf numFmtId="0" fontId="18" fillId="0" borderId="0" xfId="0" applyFont="1" applyAlignment="1">
      <x:alignment horizontal="center" vertical="center"/>
    </x:xf>
    <x:xf numFmtId="0" fontId="94" fillId="0" borderId="0" xfId="6" applyFont="1" applyAlignment="1">
      <x:alignment horizontal="center" vertical="center" wrapText="1"/>
    </x:xf>
    <x:xf numFmtId="9" fontId="91" fillId="4" borderId="0" xfId="2" applyFont="1" applyFill="1" applyBorder="1" applyAlignment="1">
      <x:alignment horizontal="right" vertical="center"/>
    </x:xf>
    <x:xf numFmtId="41" fontId="4" fillId="6" borderId="6" xfId="1" applyFont="1" applyFill="1" applyBorder="1" applyAlignment="1">
      <x:alignment horizontal="center" vertical="center"/>
    </x:xf>
    <x:xf numFmtId="41" fontId="4" fillId="6" borderId="8" xfId="1" applyFont="1" applyFill="1" applyBorder="1" applyAlignment="1">
      <x:alignment horizontal="center" vertical="center"/>
    </x:xf>
    <x:xf numFmtId="41" fontId="4" fillId="6" borderId="3" xfId="1" applyFont="1" applyFill="1" applyBorder="1" applyAlignment="1">
      <x:alignment vertical="center"/>
    </x:xf>
    <x:xf numFmtId="41" fontId="4" fillId="6" borderId="10" xfId="1" applyFont="1" applyFill="1" applyBorder="1" applyAlignment="1">
      <x:alignment horizontal="center" vertical="center"/>
    </x:xf>
    <x:xf numFmtId="41" fontId="4" fillId="6" borderId="4" xfId="1" applyFont="1" applyFill="1" applyBorder="1" applyAlignment="1">
      <x:alignment vertical="center"/>
    </x:xf>
    <x:xf numFmtId="12" fontId="4" fillId="6" borderId="8" xfId="1" applyNumberFormat="1" applyFont="1" applyFill="1" applyBorder="1" applyAlignment="1">
      <x:alignment horizontal="right" vertical="center"/>
    </x:xf>
    <x:xf numFmtId="0" fontId="7" fillId="0" borderId="0" xfId="0" applyFont="1">
      <x:alignment vertical="center"/>
    </x:xf>
    <x:xf numFmtId="0" fontId="4" fillId="6" borderId="1" xfId="9" applyFont="1" applyFill="1" applyBorder="1" applyAlignment="1">
      <x:alignment horizontal="center" vertical="center"/>
    </x:xf>
    <x:xf numFmtId="41" fontId="4" fillId="6" borderId="1" xfId="1" applyFont="1" applyFill="1" applyBorder="1" applyAlignment="1">
      <x:alignment horizontal="center" vertical="center"/>
    </x:xf>
    <x:xf numFmtId="0" fontId="49" fillId="7" borderId="122" xfId="18" applyFont="1" applyFill="1" applyBorder="1" applyAlignment="1">
      <x:alignment horizontal="center" vertical="center"/>
    </x:xf>
    <x:xf numFmtId="0" fontId="47" fillId="18" borderId="122" xfId="18" applyFont="1" applyFill="1" applyBorder="1" applyAlignment="1">
      <x:alignment horizontal="center" vertical="center"/>
    </x:xf>
    <x:xf numFmtId="0" fontId="53" fillId="0" borderId="127" xfId="18" applyFont="1" applyBorder="1" applyAlignment="1">
      <x:alignment horizontal="center" vertical="center"/>
    </x:xf>
    <x:xf numFmtId="0" fontId="53" fillId="0" borderId="125" xfId="18" applyFont="1" applyBorder="1" applyAlignment="1">
      <x:alignment horizontal="center" vertical="center"/>
    </x:xf>
    <x:xf numFmtId="41" fontId="47" fillId="0" borderId="126" xfId="19" applyFont="1" applyFill="1" applyBorder="1" applyAlignment="1">
      <x:alignment vertical="center"/>
    </x:xf>
    <x:xf numFmtId="41" fontId="47" fillId="0" borderId="127" xfId="19" applyFont="1" applyFill="1" applyBorder="1" applyAlignment="1">
      <x:alignment vertical="center"/>
    </x:xf>
    <x:xf numFmtId="41" fontId="53" fillId="0" borderId="124" xfId="19" applyFont="1" applyFill="1" applyBorder="1" applyAlignment="1">
      <x:alignment vertical="center"/>
    </x:xf>
    <x:xf numFmtId="0" fontId="53" fillId="0" borderId="122" xfId="18" applyFont="1" applyBorder="1" applyAlignment="1">
      <x:alignment horizontal="center" vertical="center"/>
    </x:xf>
    <x:xf numFmtId="0" fontId="53" fillId="0" borderId="123" xfId="18" applyFont="1" applyBorder="1" applyAlignment="1">
      <x:alignment horizontal="center" vertical="center"/>
    </x:xf>
    <x:xf numFmtId="41" fontId="53" fillId="0" borderId="126" xfId="19" applyFont="1" applyFill="1" applyBorder="1" applyAlignment="1">
      <x:alignment vertical="center"/>
    </x:xf>
    <x:xf numFmtId="41" fontId="53" fillId="0" borderId="127" xfId="19" applyFont="1" applyFill="1" applyBorder="1" applyAlignment="1">
      <x:alignment vertical="center"/>
    </x:xf>
    <x:xf numFmtId="0" fontId="53" fillId="0" borderId="122" xfId="18" applyFont="1" applyBorder="1" applyAlignment="1">
      <x:alignment vertical="center"/>
    </x:xf>
    <x:xf numFmtId="192" fontId="53" fillId="0" borderId="122" xfId="18" applyNumberFormat="1" applyFont="1" applyBorder="1" applyAlignment="1">
      <x:alignment horizontal="center" vertical="center" shrinkToFit="1"/>
    </x:xf>
    <x:xf numFmtId="0" fontId="53" fillId="0" borderId="122" xfId="18" applyFont="1" applyBorder="1" applyAlignment="1">
      <x:alignment horizontal="center" vertical="center" shrinkToFit="1"/>
    </x:xf>
    <x:xf numFmtId="0" fontId="53" fillId="0" borderId="127" xfId="18" applyFont="1" applyBorder="1" applyAlignment="1">
      <x:alignment vertical="center"/>
    </x:xf>
    <x:xf numFmtId="192" fontId="53" fillId="0" borderId="127" xfId="18" applyNumberFormat="1" applyFont="1" applyBorder="1" applyAlignment="1">
      <x:alignment horizontal="center" vertical="center" shrinkToFit="1"/>
    </x:xf>
    <x:xf numFmtId="0" fontId="53" fillId="0" borderId="127" xfId="18" applyFont="1" applyBorder="1" applyAlignment="1">
      <x:alignment horizontal="center" vertical="center" shrinkToFit="1"/>
    </x:xf>
    <x:xf numFmtId="0" fontId="47" fillId="6" borderId="127" xfId="18" applyFont="1" applyFill="1" applyBorder="1" applyAlignment="1">
      <x:alignment vertical="center"/>
    </x:xf>
    <x:xf numFmtId="0" fontId="47" fillId="6" borderId="127" xfId="18" applyFont="1" applyFill="1" applyBorder="1" applyAlignment="1">
      <x:alignment horizontal="center" vertical="center"/>
    </x:xf>
    <x:xf numFmtId="0" fontId="47" fillId="6" borderId="125" xfId="18" applyFont="1" applyFill="1" applyBorder="1" applyAlignment="1">
      <x:alignment horizontal="center" vertical="center"/>
    </x:xf>
    <x:xf numFmtId="0" fontId="47" fillId="6" borderId="122" xfId="18" applyFont="1" applyFill="1" applyBorder="1" applyAlignment="1">
      <x:alignment horizontal="center" vertical="center"/>
    </x:xf>
    <x:xf numFmtId="41" fontId="47" fillId="6" borderId="126" xfId="19" applyFont="1" applyFill="1" applyBorder="1" applyAlignment="1">
      <x:alignment vertical="center"/>
    </x:xf>
    <x:xf numFmtId="41" fontId="47" fillId="6" borderId="127" xfId="19" applyFont="1" applyFill="1" applyBorder="1" applyAlignment="1">
      <x:alignment vertical="center"/>
    </x:xf>
    <x:xf numFmtId="0" fontId="50" fillId="6" borderId="127" xfId="18" applyFont="1" applyFill="1" applyBorder="1" applyAlignment="1">
      <x:alignment horizontal="center" vertical="center"/>
    </x:xf>
    <x:xf numFmtId="0" fontId="50" fillId="6" borderId="125" xfId="18" applyFont="1" applyFill="1" applyBorder="1" applyAlignment="1">
      <x:alignment horizontal="center" vertical="center"/>
    </x:xf>
    <x:xf numFmtId="0" fontId="47" fillId="6" borderId="87" xfId="18" applyFont="1" applyFill="1" applyBorder="1" applyAlignment="1">
      <x:alignment vertical="center"/>
    </x:xf>
    <x:xf numFmtId="0" fontId="47" fillId="6" borderId="122" xfId="18" applyFont="1" applyFill="1" applyBorder="1" applyAlignment="1">
      <x:alignment vertical="center"/>
    </x:xf>
    <x:xf numFmtId="0" fontId="47" fillId="6" borderId="123" xfId="18" applyFont="1" applyFill="1" applyBorder="1" applyAlignment="1">
      <x:alignment horizontal="center" vertical="center"/>
    </x:xf>
    <x:xf numFmtId="41" fontId="53" fillId="0" borderId="23" xfId="19" applyFont="1" applyFill="1" applyBorder="1" applyAlignment="1">
      <x:alignment vertical="center"/>
    </x:xf>
    <x:xf numFmtId="41" fontId="53" fillId="0" borderId="122" xfId="19" applyFont="1" applyFill="1" applyBorder="1" applyAlignment="1">
      <x:alignment vertical="center"/>
    </x:xf>
    <x:xf numFmtId="0" fontId="47" fillId="0" borderId="0" xfId="18" applyFont="1" applyAlignment="1">
      <x:alignment horizontal="center" vertical="center"/>
    </x:xf>
    <x:xf numFmtId="0" fontId="47" fillId="6" borderId="129" xfId="18" applyFont="1" applyFill="1" applyBorder="1" applyAlignment="1">
      <x:alignment vertical="center"/>
    </x:xf>
    <x:xf numFmtId="0" fontId="50" fillId="6" borderId="0" xfId="18" applyFont="1" applyFill="1" applyAlignment="1">
      <x:alignment vertical="top"/>
    </x:xf>
    <x:xf numFmtId="0" fontId="53" fillId="0" borderId="0" xfId="18" applyFont="1" applyAlignment="1">
      <x:alignment horizontal="center" vertical="center"/>
    </x:xf>
    <x:xf numFmtId="0" fontId="47" fillId="6" borderId="0" xfId="18" applyFont="1" applyFill="1" applyAlignment="1">
      <x:alignment horizontal="center" vertical="center"/>
    </x:xf>
    <x:xf numFmtId="41" fontId="53" fillId="0" borderId="0" xfId="19" applyFont="1" applyFill="1" applyBorder="1" applyAlignment="1">
      <x:alignment vertical="center"/>
    </x:xf>
    <x:xf numFmtId="0" fontId="58" fillId="7" borderId="122" xfId="22" applyFont="1" applyFill="1" applyBorder="1" applyAlignment="1">
      <x:alignment horizontal="center" vertical="center"/>
    </x:xf>
    <x:xf numFmtId="0" fontId="58" fillId="7" borderId="127" xfId="22" applyFont="1" applyFill="1" applyBorder="1" applyAlignment="1">
      <x:alignment horizontal="center" vertical="center"/>
    </x:xf>
    <x:xf numFmtId="0" fontId="56" fillId="18" borderId="122" xfId="22" applyFont="1" applyFill="1" applyBorder="1" applyAlignment="1">
      <x:alignment horizontal="center" vertical="center"/>
    </x:xf>
    <x:xf numFmtId="0" fontId="60" fillId="18" borderId="122" xfId="22" applyFont="1" applyFill="1" applyBorder="1" applyAlignment="1">
      <x:alignment horizontal="center" vertical="center"/>
    </x:xf>
    <x:xf numFmtId="193" fontId="47" fillId="0" borderId="127" xfId="19" applyNumberFormat="1" applyFont="1" applyFill="1" applyBorder="1" applyAlignment="1">
      <x:alignment vertical="center"/>
    </x:xf>
    <x:xf numFmtId="193" fontId="53" fillId="0" borderId="127" xfId="19" applyNumberFormat="1" applyFont="1" applyFill="1" applyBorder="1" applyAlignment="1">
      <x:alignment vertical="center"/>
    </x:xf>
    <x:xf numFmtId="193" fontId="53" fillId="0" borderId="126" xfId="19" applyNumberFormat="1" applyFont="1" applyFill="1" applyBorder="1" applyAlignment="1">
      <x:alignment vertical="center"/>
    </x:xf>
    <x:xf numFmtId="193" fontId="47" fillId="0" borderId="124" xfId="19" applyNumberFormat="1" applyFont="1" applyFill="1" applyBorder="1" applyAlignment="1">
      <x:alignment vertical="center"/>
    </x:xf>
    <x:xf numFmtId="193" fontId="47" fillId="0" borderId="126" xfId="19" applyNumberFormat="1" applyFont="1" applyFill="1" applyBorder="1" applyAlignment="1">
      <x:alignment vertical="center"/>
    </x:xf>
    <x:xf numFmtId="193" fontId="53" fillId="0" borderId="124" xfId="19" applyNumberFormat="1" applyFont="1" applyFill="1" applyBorder="1" applyAlignment="1">
      <x:alignment vertical="center"/>
    </x:xf>
    <x:xf numFmtId="193" fontId="53" fillId="0" borderId="23" xfId="19" applyNumberFormat="1" applyFont="1" applyFill="1" applyBorder="1" applyAlignment="1">
      <x:alignment vertical="center"/>
    </x:xf>
    <x:xf numFmtId="0" fontId="47" fillId="6" borderId="81" xfId="18" applyFont="1" applyFill="1" applyBorder="1" applyAlignment="1">
      <x:alignment vertical="center" shrinkToFit="1"/>
    </x:xf>
    <x:xf numFmtId="193" fontId="53" fillId="0" borderId="99" xfId="19" applyNumberFormat="1" applyFont="1" applyFill="1" applyBorder="1" applyAlignment="1">
      <x:alignment vertical="center"/>
    </x:xf>
    <x:xf numFmtId="176" fontId="47" fillId="0" borderId="127" xfId="19" applyNumberFormat="1" applyFont="1" applyFill="1" applyBorder="1" applyAlignment="1">
      <x:alignment vertical="center"/>
    </x:xf>
    <x:xf numFmtId="176" fontId="53" fillId="0" borderId="124" xfId="19" applyNumberFormat="1" applyFont="1" applyFill="1" applyBorder="1" applyAlignment="1">
      <x:alignment vertical="center"/>
    </x:xf>
    <x:xf numFmtId="176" fontId="53" fillId="0" borderId="126" xfId="19" applyNumberFormat="1" applyFont="1" applyFill="1" applyBorder="1" applyAlignment="1">
      <x:alignment vertical="center"/>
    </x:xf>
    <x:xf numFmtId="176" fontId="53" fillId="0" borderId="127" xfId="19" applyNumberFormat="1" applyFont="1" applyFill="1" applyBorder="1" applyAlignment="1">
      <x:alignment vertical="center"/>
    </x:xf>
    <x:xf numFmtId="176" fontId="47" fillId="0" borderId="124" xfId="19" applyNumberFormat="1" applyFont="1" applyFill="1" applyBorder="1" applyAlignment="1">
      <x:alignment vertical="center"/>
    </x:xf>
    <x:xf numFmtId="176" fontId="47" fillId="0" borderId="126" xfId="19" applyNumberFormat="1" applyFont="1" applyFill="1" applyBorder="1" applyAlignment="1">
      <x:alignment vertical="center"/>
    </x:xf>
    <x:xf numFmtId="176" fontId="53" fillId="0" borderId="23" xfId="19" applyNumberFormat="1" applyFont="1" applyFill="1" applyBorder="1" applyAlignment="1">
      <x:alignment vertical="center"/>
    </x:xf>
    <x:xf numFmtId="0" fontId="57" fillId="9" borderId="125" xfId="22" applyFont="1" applyFill="1" applyBorder="1">
      <x:alignment vertical="center"/>
    </x:xf>
    <x:xf numFmtId="0" fontId="57" fillId="9" borderId="127" xfId="22" applyFont="1" applyFill="1" applyBorder="1">
      <x:alignment vertical="center"/>
    </x:xf>
    <x:xf numFmtId="194" fontId="62" fillId="20" borderId="126" xfId="23" applyNumberFormat="1" applyFont="1" applyFill="1" applyBorder="1" applyAlignment="1">
      <x:alignment vertical="center"/>
    </x:xf>
    <x:xf numFmtId="194" fontId="62" fillId="20" borderId="127" xfId="23" applyNumberFormat="1" applyFont="1" applyFill="1" applyBorder="1" applyAlignment="1">
      <x:alignment vertical="center"/>
    </x:xf>
    <x:xf numFmtId="0" fontId="57" fillId="9" borderId="112" xfId="22" applyFont="1" applyFill="1" applyBorder="1">
      <x:alignment vertical="center"/>
    </x:xf>
    <x:xf numFmtId="0" fontId="57" fillId="9" borderId="126" xfId="22" applyFont="1" applyFill="1" applyBorder="1">
      <x:alignment vertical="center"/>
    </x:xf>
    <x:xf numFmtId="194" fontId="62" fillId="20" borderId="125" xfId="23" applyNumberFormat="1" applyFont="1" applyFill="1" applyBorder="1" applyAlignment="1">
      <x:alignment vertical="center"/>
    </x:xf>
    <x:xf numFmtId="0" fontId="57" fillId="9" borderId="33" xfId="22" applyFont="1" applyFill="1" applyBorder="1">
      <x:alignment vertical="center"/>
    </x:xf>
    <x:xf numFmtId="0" fontId="57" fillId="9" borderId="0" xfId="22" applyFont="1" applyFill="1">
      <x:alignment vertical="center"/>
    </x:xf>
    <x:xf numFmtId="0" fontId="57" fillId="9" borderId="24" xfId="22" applyFont="1" applyFill="1" applyBorder="1">
      <x:alignment vertical="center"/>
    </x:xf>
    <x:xf numFmtId="194" fontId="98" fillId="9" borderId="130" xfId="23" applyNumberFormat="1" applyFont="1" applyFill="1" applyBorder="1" applyAlignment="1">
      <x:alignment vertical="center"/>
    </x:xf>
    <x:xf numFmtId="183" fontId="62" fillId="20" borderId="126" xfId="23" applyNumberFormat="1" applyFont="1" applyFill="1" applyBorder="1" applyAlignment="1">
      <x:alignment vertical="center"/>
    </x:xf>
    <x:xf numFmtId="183" fontId="62" fillId="20" borderId="127" xfId="23" applyNumberFormat="1" applyFont="1" applyFill="1" applyBorder="1" applyAlignment="1">
      <x:alignment vertical="center"/>
    </x:xf>
    <x:xf numFmtId="176" fontId="47" fillId="0" borderId="89" xfId="19" applyNumberFormat="1" applyFont="1" applyFill="1" applyBorder="1" applyAlignment="1">
      <x:alignment vertical="center"/>
    </x:xf>
    <x:xf numFmtId="0" fontId="1" fillId="9" borderId="133" xfId="22" applyFill="1" applyBorder="1" applyAlignment="1">
      <x:alignment horizontal="center" vertical="center"/>
    </x:xf>
    <x:xf numFmtId="0" fontId="1" fillId="9" borderId="134" xfId="22" applyFill="1" applyBorder="1" applyAlignment="1">
      <x:alignment horizontal="center" vertical="center"/>
    </x:xf>
    <x:xf numFmtId="0" fontId="1" fillId="9" borderId="101" xfId="22" applyFill="1" applyBorder="1" applyAlignment="1">
      <x:alignment horizontal="center" vertical="center"/>
    </x:xf>
    <x:xf numFmtId="194" fontId="63" fillId="9" borderId="99" xfId="23" applyNumberFormat="1" applyFont="1" applyFill="1" applyBorder="1" applyAlignment="1">
      <x:alignment vertical="center"/>
    </x:xf>
    <x:xf numFmtId="194" fontId="98" fillId="9" borderId="102" xfId="23" applyNumberFormat="1" applyFont="1" applyFill="1" applyBorder="1" applyAlignment="1">
      <x:alignment vertical="center"/>
    </x:xf>
    <x:xf numFmtId="180" fontId="70" fillId="0" borderId="0" xfId="4" applyNumberFormat="1" applyFont="1" applyAlignment="1">
      <x:alignment vertical="center"/>
    </x:xf>
    <x:xf numFmtId="41" fontId="9" fillId="0" borderId="0" xfId="1" applyFont="1" applyAlignment="1">
      <x:alignment horizontal="center" vertical="center"/>
    </x:xf>
    <x:xf numFmtId="186" fontId="21" fillId="0" borderId="0" xfId="3" applyNumberFormat="1" applyFont="1" applyAlignment="1">
      <x:alignment horizontal="center" vertical="center"/>
    </x:xf>
    <x:xf numFmtId="186" fontId="78" fillId="0" borderId="0" xfId="5" applyNumberFormat="1" applyFont="1" applyBorder="1" applyAlignment="1">
      <x:alignment horizontal="center" vertical="center"/>
    </x:xf>
    <x:xf numFmtId="186" fontId="78" fillId="0" borderId="0" xfId="3" applyNumberFormat="1" applyFont="1" applyAlignment="1">
      <x:alignment horizontal="center" vertical="center" shrinkToFit="1"/>
    </x:xf>
    <x:xf numFmtId="187" fontId="80" fillId="0" borderId="0" xfId="0" applyNumberFormat="1" applyFont="1" applyAlignment="1">
      <x:alignment horizontal="center" vertical="center"/>
    </x:xf>
    <x:xf numFmtId="0" fontId="65" fillId="0" borderId="1" xfId="7" applyFont="1" applyBorder="1" applyAlignment="1">
      <x:alignment horizontal="center" vertical="center"/>
    </x:xf>
    <x:xf numFmtId="0" fontId="53" fillId="6" borderId="33" xfId="18" applyFont="1" applyFill="1" applyBorder="1" applyAlignment="1">
      <x:alignment horizontal="center" vertical="center"/>
    </x:xf>
    <x:xf numFmtId="177" fontId="65" fillId="6" borderId="1" xfId="0" applyNumberFormat="1" applyFont="1" applyFill="1" applyBorder="1" applyAlignment="1">
      <x:alignment horizontal="right" vertical="center"/>
    </x:xf>
    <x:xf numFmtId="187" fontId="71" fillId="0" borderId="0" xfId="26" applyNumberFormat="1" applyFont="1" applyAlignment="1">
      <x:alignment horizontal="center" vertical="center"/>
    </x:xf>
    <x:xf numFmtId="187" fontId="8" fillId="0" borderId="0" xfId="0" applyNumberFormat="1" applyFont="1" applyAlignment="1">
      <x:alignment horizontal="center" vertical="center"/>
    </x:xf>
    <x:xf numFmtId="183" fontId="64" fillId="0" borderId="105" xfId="22" applyNumberFormat="1" applyFont="1" applyBorder="1">
      <x:alignment vertical="center"/>
    </x:xf>
    <x:xf numFmtId="41" fontId="0" fillId="0" borderId="0" xfId="0" applyNumberFormat="1">
      <x:alignment vertical="center"/>
    </x:xf>
    <x:xf numFmtId="0" fontId="10" fillId="6" borderId="127" xfId="7" applyFont="1" applyFill="1" applyBorder="1" applyAlignment="1">
      <x:alignment horizontal="center" vertical="center"/>
    </x:xf>
    <x:xf numFmtId="0" fontId="10" fillId="12" borderId="1" xfId="7" applyFont="1" applyFill="1" applyBorder="1" applyAlignment="1">
      <x:alignment horizontal="center" vertical="center"/>
    </x:xf>
    <x:xf numFmtId="14" fontId="46" fillId="12" borderId="1" xfId="0" applyNumberFormat="1" applyFont="1" applyFill="1" applyBorder="1" applyAlignment="1">
      <x:alignment horizontal="center" vertical="center"/>
    </x:xf>
    <x:xf numFmtId="0" fontId="0" fillId="12" borderId="0" xfId="0" applyFill="1">
      <x:alignment vertical="center"/>
    </x:xf>
    <x:xf numFmtId="41" fontId="47" fillId="6" borderId="124" xfId="19" applyFont="1" applyFill="1" applyBorder="1" applyAlignment="1">
      <x:alignment vertical="center"/>
    </x:xf>
    <x:xf numFmtId="41" fontId="47" fillId="6" borderId="4" xfId="19" applyFont="1" applyFill="1" applyBorder="1" applyAlignment="1">
      <x:alignment vertical="center"/>
    </x:xf>
    <x:xf numFmtId="0" fontId="53" fillId="6" borderId="127" xfId="18" applyFont="1" applyFill="1" applyBorder="1" applyAlignment="1">
      <x:alignment horizontal="center" vertical="center"/>
    </x:xf>
    <x:xf numFmtId="0" fontId="53" fillId="6" borderId="125" xfId="18" applyFont="1" applyFill="1" applyBorder="1" applyAlignment="1">
      <x:alignment horizontal="center" vertical="center"/>
    </x:xf>
    <x:xf numFmtId="41" fontId="47" fillId="6" borderId="88" xfId="19" applyFont="1" applyFill="1" applyBorder="1" applyAlignment="1">
      <x:alignment vertical="center"/>
    </x:xf>
    <x:xf numFmtId="0" fontId="53" fillId="6" borderId="3" xfId="18" applyFont="1" applyFill="1" applyBorder="1" applyAlignment="1">
      <x:alignment horizontal="center" vertical="center"/>
    </x:xf>
    <x:xf numFmtId="0" fontId="53" fillId="6" borderId="39" xfId="18" applyFont="1" applyFill="1" applyBorder="1" applyAlignment="1">
      <x:alignment horizontal="center" vertical="center"/>
    </x:xf>
    <x:xf numFmtId="41" fontId="53" fillId="6" borderId="124" xfId="19" applyFont="1" applyFill="1" applyBorder="1" applyAlignment="1">
      <x:alignment vertical="center"/>
    </x:xf>
    <x:xf numFmtId="41" fontId="53" fillId="6" borderId="4" xfId="19" applyFont="1" applyFill="1" applyBorder="1" applyAlignment="1">
      <x:alignment vertical="center"/>
    </x:xf>
    <x:xf numFmtId="41" fontId="53" fillId="6" borderId="89" xfId="19" applyFont="1" applyFill="1" applyBorder="1" applyAlignment="1">
      <x:alignment vertical="center"/>
    </x:xf>
    <x:xf numFmtId="0" fontId="53" fillId="6" borderId="122" xfId="18" applyFont="1" applyFill="1" applyBorder="1" applyAlignment="1">
      <x:alignment horizontal="center" vertical="center"/>
    </x:xf>
    <x:xf numFmtId="0" fontId="53" fillId="6" borderId="123" xfId="18" applyFont="1" applyFill="1" applyBorder="1" applyAlignment="1">
      <x:alignment horizontal="center" vertical="center"/>
    </x:xf>
    <x:xf numFmtId="41" fontId="53" fillId="6" borderId="126" xfId="19" applyFont="1" applyFill="1" applyBorder="1" applyAlignment="1">
      <x:alignment vertical="center"/>
    </x:xf>
    <x:xf numFmtId="41" fontId="53" fillId="6" borderId="127" xfId="19" applyFont="1" applyFill="1" applyBorder="1" applyAlignment="1">
      <x:alignment vertical="center"/>
    </x:xf>
    <x:xf numFmtId="0" fontId="53" fillId="6" borderId="148" xfId="18" applyFont="1" applyFill="1" applyBorder="1" applyAlignment="1">
      <x:alignment vertical="center"/>
    </x:xf>
    <x:xf numFmtId="0" fontId="53" fillId="0" borderId="37" xfId="18" applyFont="1" applyBorder="1" applyAlignment="1">
      <x:alignment horizontal="center" vertical="center"/>
    </x:xf>
    <x:xf numFmtId="0" fontId="53" fillId="0" borderId="53" xfId="18" applyFont="1" applyBorder="1" applyAlignment="1">
      <x:alignment horizontal="center" vertical="center"/>
    </x:xf>
    <x:xf numFmtId="41" fontId="53" fillId="0" borderId="54" xfId="19" applyFont="1" applyFill="1" applyBorder="1" applyAlignment="1">
      <x:alignment vertical="center"/>
    </x:xf>
    <x:xf numFmtId="41" fontId="53" fillId="0" borderId="37" xfId="19" applyFont="1" applyFill="1" applyBorder="1" applyAlignment="1">
      <x:alignment vertical="center"/>
    </x:xf>
    <x:xf numFmtId="41" fontId="53" fillId="0" borderId="149" xfId="19" applyFont="1" applyFill="1" applyBorder="1" applyAlignment="1">
      <x:alignment vertical="center"/>
    </x:xf>
    <x:xf numFmtId="0" fontId="53" fillId="6" borderId="151" xfId="18" applyFont="1" applyFill="1" applyBorder="1" applyAlignment="1">
      <x:alignment horizontal="center" vertical="center"/>
    </x:xf>
    <x:xf numFmtId="0" fontId="53" fillId="6" borderId="29" xfId="18" applyFont="1" applyFill="1" applyBorder="1" applyAlignment="1">
      <x:alignment horizontal="center" vertical="center"/>
    </x:xf>
    <x:xf numFmtId="0" fontId="53" fillId="6" borderId="57" xfId="18" applyFont="1" applyFill="1" applyBorder="1" applyAlignment="1">
      <x:alignment horizontal="center" vertical="center"/>
    </x:xf>
    <x:xf numFmtId="41" fontId="47" fillId="6" borderId="58" xfId="19" applyFont="1" applyFill="1" applyBorder="1" applyAlignment="1">
      <x:alignment vertical="center"/>
    </x:xf>
    <x:xf numFmtId="41" fontId="47" fillId="6" borderId="29" xfId="19" applyFont="1" applyFill="1" applyBorder="1" applyAlignment="1">
      <x:alignment vertical="center"/>
    </x:xf>
    <x:xf numFmtId="41" fontId="47" fillId="6" borderId="152" xfId="19" applyFont="1" applyFill="1" applyBorder="1" applyAlignment="1">
      <x:alignment vertical="center"/>
    </x:xf>
    <x:xf numFmtId="0" fontId="53" fillId="6" borderId="37" xfId="18" applyFont="1" applyFill="1" applyBorder="1" applyAlignment="1">
      <x:alignment horizontal="center" vertical="center"/>
    </x:xf>
    <x:xf numFmtId="0" fontId="53" fillId="6" borderId="53" xfId="18" applyFont="1" applyFill="1" applyBorder="1" applyAlignment="1">
      <x:alignment horizontal="center" vertical="center"/>
    </x:xf>
    <x:xf numFmtId="41" fontId="53" fillId="6" borderId="54" xfId="19" applyFont="1" applyFill="1" applyBorder="1" applyAlignment="1">
      <x:alignment vertical="center"/>
    </x:xf>
    <x:xf numFmtId="41" fontId="53" fillId="6" borderId="37" xfId="19" applyFont="1" applyFill="1" applyBorder="1" applyAlignment="1">
      <x:alignment vertical="center"/>
    </x:xf>
    <x:xf numFmtId="41" fontId="53" fillId="6" borderId="149" xfId="19" applyFont="1" applyFill="1" applyBorder="1" applyAlignment="1">
      <x:alignment vertical="center"/>
    </x:xf>
    <x:xf numFmtId="0" fontId="53" fillId="0" borderId="29" xfId="18" applyFont="1" applyBorder="1" applyAlignment="1">
      <x:alignment horizontal="center" vertical="center"/>
    </x:xf>
    <x:xf numFmtId="0" fontId="53" fillId="0" borderId="57" xfId="18" applyFont="1" applyBorder="1" applyAlignment="1">
      <x:alignment horizontal="center" vertical="center"/>
    </x:xf>
    <x:xf numFmtId="41" fontId="47" fillId="0" borderId="58" xfId="19" applyFont="1" applyFill="1" applyBorder="1" applyAlignment="1">
      <x:alignment vertical="center"/>
    </x:xf>
    <x:xf numFmtId="41" fontId="47" fillId="0" borderId="29" xfId="19" applyFont="1" applyFill="1" applyBorder="1" applyAlignment="1">
      <x:alignment vertical="center"/>
    </x:xf>
    <x:xf numFmtId="41" fontId="47" fillId="0" borderId="152" xfId="19" applyFont="1" applyFill="1" applyBorder="1" applyAlignment="1">
      <x:alignment vertical="center"/>
    </x:xf>
    <x:xf numFmtId="0" fontId="53" fillId="6" borderId="148" xfId="18" applyFont="1" applyFill="1" applyBorder="1" applyAlignment="1">
      <x:alignment horizontal="center" vertical="center"/>
    </x:xf>
    <x:xf numFmtId="41" fontId="53" fillId="0" borderId="58" xfId="19" applyFont="1" applyFill="1" applyBorder="1" applyAlignment="1">
      <x:alignment vertical="center"/>
    </x:xf>
    <x:xf numFmtId="41" fontId="53" fillId="0" borderId="152" xfId="19" applyFont="1" applyFill="1" applyBorder="1" applyAlignment="1">
      <x:alignment vertical="center"/>
    </x:xf>
    <x:xf numFmtId="0" fontId="53" fillId="0" borderId="37" xfId="18" applyFont="1" applyBorder="1" applyAlignment="1">
      <x:alignment vertical="center"/>
    </x:xf>
    <x:xf numFmtId="192" fontId="53" fillId="0" borderId="37" xfId="18" applyNumberFormat="1" applyFont="1" applyBorder="1" applyAlignment="1">
      <x:alignment horizontal="center" vertical="center" shrinkToFit="1"/>
    </x:xf>
    <x:xf numFmtId="0" fontId="53" fillId="0" borderId="37" xfId="18" applyFont="1" applyBorder="1" applyAlignment="1">
      <x:alignment horizontal="center" vertical="center" shrinkToFit="1"/>
    </x:xf>
    <x:xf numFmtId="41" fontId="53" fillId="0" borderId="155" xfId="19" applyFont="1" applyFill="1" applyBorder="1" applyAlignment="1">
      <x:alignment vertical="center"/>
    </x:xf>
    <x:xf numFmtId="41" fontId="53" fillId="0" borderId="156" xfId="19" applyFont="1" applyFill="1" applyBorder="1" applyAlignment="1">
      <x:alignment vertical="center"/>
    </x:xf>
    <x:xf numFmtId="41" fontId="53" fillId="0" borderId="24" xfId="19" applyFont="1" applyFill="1" applyBorder="1" applyAlignment="1">
      <x:alignment vertical="center"/>
    </x:xf>
    <x:xf numFmtId="41" fontId="53" fillId="0" borderId="3" xfId="19" applyFont="1" applyFill="1" applyBorder="1" applyAlignment="1">
      <x:alignment vertical="center"/>
    </x:xf>
    <x:xf numFmtId="0" fontId="47" fillId="6" borderId="4" xfId="18" applyFont="1" applyFill="1" applyBorder="1" applyAlignment="1">
      <x:alignment vertical="center"/>
    </x:xf>
    <x:xf numFmtId="0" fontId="47" fillId="6" borderId="4" xfId="18" applyFont="1" applyFill="1" applyBorder="1" applyAlignment="1">
      <x:alignment horizontal="center" vertical="center"/>
    </x:xf>
    <x:xf numFmtId="0" fontId="47" fillId="6" borderId="91" xfId="18" applyFont="1" applyFill="1" applyBorder="1" applyAlignment="1">
      <x:alignment horizontal="center" vertical="center"/>
    </x:xf>
    <x:xf numFmtId="0" fontId="47" fillId="6" borderId="3" xfId="18" applyFont="1" applyFill="1" applyBorder="1" applyAlignment="1">
      <x:alignment horizontal="center" vertical="center"/>
    </x:xf>
    <x:xf numFmtId="0" fontId="53" fillId="0" borderId="5" xfId="18" applyFont="1" applyBorder="1" applyAlignment="1">
      <x:alignment horizontal="center" vertical="center"/>
    </x:xf>
    <x:xf numFmtId="0" fontId="53" fillId="0" borderId="29" xfId="18" applyFont="1" applyBorder="1" applyAlignment="1">
      <x:alignment vertical="center"/>
    </x:xf>
    <x:xf numFmtId="192" fontId="53" fillId="0" borderId="29" xfId="18" applyNumberFormat="1" applyFont="1" applyBorder="1" applyAlignment="1">
      <x:alignment horizontal="center" vertical="center" shrinkToFit="1"/>
    </x:xf>
    <x:xf numFmtId="0" fontId="53" fillId="0" borderId="5" xfId="18" applyFont="1" applyBorder="1" applyAlignment="1">
      <x:alignment horizontal="center" vertical="center" shrinkToFit="1"/>
    </x:xf>
    <x:xf numFmtId="192" fontId="129" fillId="0" borderId="120" xfId="0" applyNumberFormat="1" applyFont="1" applyBorder="1" applyAlignment="1">
      <x:alignment horizontal="center" vertical="center" wrapText="1" readingOrder="1"/>
    </x:xf>
    <x:xf numFmtId="192" fontId="129" fillId="0" borderId="59" xfId="0" applyNumberFormat="1" applyFont="1" applyBorder="1" applyAlignment="1">
      <x:alignment horizontal="center" vertical="center" wrapText="1" readingOrder="1"/>
    </x:xf>
    <x:xf numFmtId="0" fontId="129" fillId="0" borderId="60" xfId="0" applyFont="1" applyBorder="1" applyAlignment="1">
      <x:alignment horizontal="center" vertical="center" wrapText="1" readingOrder="1"/>
    </x:xf>
    <x:xf numFmtId="0" fontId="4" fillId="0" borderId="0" xfId="7" applyFont="1">
      <x:alignment vertical="center"/>
    </x:xf>
    <x:xf numFmtId="206" fontId="4" fillId="6" borderId="1" xfId="5" applyNumberFormat="1" applyFont="1" applyFill="1" applyBorder="1" applyAlignment="1">
      <x:alignment horizontal="center" vertical="center"/>
    </x:xf>
    <x:xf numFmtId="187" fontId="4" fillId="6" borderId="1" xfId="5" applyNumberFormat="1" applyFont="1" applyFill="1" applyBorder="1" applyAlignment="1">
      <x:alignment horizontal="center" vertical="center"/>
    </x:xf>
    <x:xf numFmtId="0" fontId="18" fillId="6" borderId="0" xfId="26" applyFill="1"/>
    <x:xf numFmtId="3" fontId="4" fillId="6" borderId="1" xfId="0" applyNumberFormat="1" applyFont="1" applyFill="1" applyBorder="1" applyAlignment="1">
      <x:alignment vertical="center" wrapText="1"/>
    </x:xf>
    <x:xf numFmtId="0" fontId="4" fillId="6" borderId="0" xfId="0" applyFont="1" applyFill="1">
      <x:alignment vertical="center"/>
    </x:xf>
    <x:xf numFmtId="0" fontId="4" fillId="6" borderId="0" xfId="0" applyFont="1" applyFill="1" applyAlignment="1">
      <x:alignment horizontal="left" vertical="center"/>
    </x:xf>
    <x:xf numFmtId="0" fontId="4" fillId="0" borderId="127" xfId="0" applyFont="1" applyBorder="1" applyAlignment="1">
      <x:alignment horizontal="center" vertical="center"/>
    </x:xf>
    <x:xf numFmtId="0" fontId="19" fillId="0" borderId="0" xfId="7" applyFont="1" applyAlignment="1">
      <x:alignment horizontal="left" vertical="center"/>
    </x:xf>
    <x:xf numFmtId="0" fontId="30" fillId="0" borderId="0" xfId="13" quotePrefix="1" applyFont="1" applyAlignment="1">
      <x:alignment horizontal="center" vertical="center" wrapText="1"/>
    </x:xf>
    <x:xf numFmtId="0" fontId="71" fillId="0" borderId="0" xfId="0" applyFont="1" applyAlignment="1">
      <x:alignment horizontal="center" vertical="center"/>
    </x:xf>
    <x:xf numFmtId="0" fontId="4" fillId="6" borderId="127" xfId="26" applyFont="1" applyFill="1" applyBorder="1" applyAlignment="1">
      <x:alignment horizontal="left" vertical="center"/>
    </x:xf>
    <x:xf numFmtId="0" fontId="9" fillId="0" borderId="0" xfId="7" applyFont="1" applyAlignment="1">
      <x:alignment horizontal="center" vertical="center"/>
    </x:xf>
    <x:xf numFmtId="186" fontId="13" fillId="6" borderId="1" xfId="0" applyNumberFormat="1" applyFont="1" applyFill="1" applyBorder="1" applyAlignment="1">
      <x:alignment horizontal="center" vertical="center"/>
    </x:xf>
    <x:xf numFmtId="0" fontId="138" fillId="12" borderId="160" xfId="0" applyFont="1" applyFill="1" applyBorder="1" applyAlignment="1">
      <x:alignment horizontal="center" vertical="center"/>
    </x:xf>
    <x:xf numFmtId="0" fontId="10" fillId="48" borderId="162" xfId="7" applyFont="1" applyFill="1" applyBorder="1" applyAlignment="1">
      <x:alignment horizontal="center" vertical="center" wrapText="1"/>
    </x:xf>
    <x:xf numFmtId="0" fontId="4" fillId="6" borderId="1" xfId="4" applyFont="1" applyFill="1" applyBorder="1" applyAlignment="1">
      <x:alignment horizontal="center" vertical="center" wrapText="1"/>
    </x:xf>
    <x:xf numFmtId="14" fontId="46" fillId="6" borderId="1" xfId="0" applyNumberFormat="1" applyFont="1" applyFill="1" applyBorder="1" applyAlignment="1">
      <x:alignment horizontal="center" vertical="center"/>
    </x:xf>
    <x:xf numFmtId="0" fontId="13" fillId="6" borderId="160" xfId="15" applyFont="1" applyFill="1" applyBorder="1" applyAlignment="1">
      <x:alignment horizontal="center" vertical="center" wrapText="1"/>
    </x:xf>
    <x:xf numFmtId="0" fontId="4" fillId="6" borderId="1" xfId="4" applyFont="1" applyFill="1" applyBorder="1" applyAlignment="1">
      <x:alignment horizontal="center" vertical="center"/>
    </x:xf>
    <x:xf numFmtId="200" fontId="4" fillId="6" borderId="128" xfId="8" applyNumberFormat="1" applyFont="1" applyFill="1" applyBorder="1" applyAlignment="1">
      <x:alignment horizontal="center" vertical="center"/>
    </x:xf>
    <x:xf numFmtId="0" fontId="2" fillId="12" borderId="1" xfId="0" applyFont="1" applyFill="1" applyBorder="1" applyAlignment="1">
      <x:alignment horizontal="center" vertical="center" wrapText="1"/>
    </x:xf>
    <x:xf numFmtId="0" fontId="32" fillId="0" borderId="0" xfId="7" applyFont="1" applyAlignment="1">
      <x:alignment horizontal="center" vertical="center"/>
    </x:xf>
    <x:xf numFmtId="192" fontId="129" fillId="12" borderId="117" xfId="0" applyNumberFormat="1" applyFont="1" applyFill="1" applyBorder="1" applyAlignment="1">
      <x:alignment horizontal="center" vertical="center" wrapText="1" readingOrder="1"/>
    </x:xf>
    <x:xf numFmtId="0" fontId="2" fillId="0" borderId="0" xfId="7" applyFont="1" applyAlignment="1">
      <x:alignment horizontal="left" vertical="center"/>
    </x:xf>
    <x:xf numFmtId="0" fontId="4" fillId="12" borderId="21" xfId="9" applyFont="1" applyFill="1" applyBorder="1" applyAlignment="1">
      <x:alignment vertical="center" wrapText="1"/>
    </x:xf>
    <x:xf numFmtId="0" fontId="4" fillId="6" borderId="8" xfId="9" applyFont="1" applyFill="1" applyBorder="1" applyAlignment="1">
      <x:alignment horizontal="center" vertical="center"/>
    </x:xf>
    <x:xf numFmtId="0" fontId="2" fillId="12" borderId="1" xfId="7" applyFont="1" applyFill="1" applyBorder="1" applyAlignment="1">
      <x:alignment horizontal="center" vertical="center"/>
    </x:xf>
    <x:xf numFmtId="190" fontId="13" fillId="6" borderId="160" xfId="4" applyNumberFormat="1" applyFont="1" applyFill="1" applyBorder="1" applyAlignment="1">
      <x:alignment horizontal="right" vertical="center"/>
    </x:xf>
    <x:xf numFmtId="177" fontId="134" fillId="0" borderId="160" xfId="3" applyNumberFormat="1" applyFont="1" applyBorder="1" applyAlignment="1">
      <x:alignment horizontal="center" vertical="center"/>
    </x:xf>
    <x:xf numFmtId="14" fontId="4" fillId="0" borderId="125" xfId="0" applyNumberFormat="1" applyFont="1" applyBorder="1" applyAlignment="1">
      <x:alignment horizontal="center" vertical="center"/>
    </x:xf>
    <x:xf numFmtId="0" fontId="4" fillId="12" borderId="174" xfId="3" applyFont="1" applyFill="1" applyBorder="1" applyAlignment="1">
      <x:alignment horizontal="center" vertical="center"/>
    </x:xf>
    <x:xf numFmtId="0" fontId="4" fillId="6" borderId="127" xfId="3" applyFont="1" applyFill="1" applyBorder="1" applyAlignment="1">
      <x:alignment vertical="center"/>
    </x:xf>
    <x:xf numFmtId="203" fontId="46" fillId="6" borderId="1" xfId="0" applyNumberFormat="1" applyFont="1" applyFill="1" applyBorder="1" applyAlignment="1">
      <x:alignment horizontal="center" vertical="center"/>
    </x:xf>
    <x:xf numFmtId="0" fontId="4" fillId="0" borderId="0" xfId="4" applyFont="1" applyAlignment="1">
      <x:alignment horizontal="left" vertical="center"/>
    </x:xf>
    <x:xf numFmtId="0" fontId="2" fillId="12" borderId="1" xfId="26" applyFont="1" applyFill="1" applyBorder="1" applyAlignment="1">
      <x:alignment horizontal="center" vertical="center" wrapText="1"/>
    </x:xf>
    <x:xf numFmtId="190" fontId="13" fillId="12" borderId="160" xfId="4" applyNumberFormat="1" applyFont="1" applyFill="1" applyBorder="1" applyAlignment="1">
      <x:alignment horizontal="right" vertical="center"/>
    </x:xf>
    <x:xf numFmtId="0" fontId="4" fillId="46" borderId="162" xfId="0" applyFont="1" applyFill="1" applyBorder="1" applyAlignment="1">
      <x:alignment horizontal="center" vertical="center"/>
    </x:xf>
    <x:xf numFmtId="192" fontId="129" fillId="0" borderId="121" xfId="0" applyNumberFormat="1" applyFont="1" applyBorder="1" applyAlignment="1">
      <x:alignment horizontal="left" vertical="center" wrapText="1" readingOrder="1"/>
    </x:xf>
    <x:xf numFmtId="10" fontId="4" fillId="6" borderId="160" xfId="0" applyNumberFormat="1" applyFont="1" applyFill="1" applyBorder="1" applyAlignment="1">
      <x:alignment horizontal="right" vertical="center"/>
    </x:xf>
    <x:xf numFmtId="200" fontId="4" fillId="6" borderId="6" xfId="8" applyNumberFormat="1" applyFont="1" applyFill="1" applyBorder="1" applyAlignment="1">
      <x:alignment horizontal="center" vertical="center"/>
    </x:xf>
    <x:xf numFmtId="0" fontId="4" fillId="6" borderId="127" xfId="4" applyFont="1" applyFill="1" applyBorder="1" applyAlignment="1">
      <x:alignment horizontal="center" vertical="center"/>
    </x:xf>
    <x:xf numFmtId="14" fontId="4" fillId="0" borderId="127" xfId="0" applyNumberFormat="1" applyFont="1" applyBorder="1" applyAlignment="1">
      <x:alignment horizontal="center" vertical="center"/>
    </x:xf>
    <x:xf numFmtId="0" fontId="4" fillId="0" borderId="160" xfId="0" applyFont="1" applyBorder="1" applyAlignment="1">
      <x:alignment horizontal="center" vertical="center"/>
    </x:xf>
    <x:xf numFmtId="0" fontId="82" fillId="6" borderId="1" xfId="7" applyFont="1" applyFill="1" applyBorder="1" applyAlignment="1">
      <x:alignment horizontal="center" vertical="center"/>
    </x:xf>
    <x:xf numFmtId="181" fontId="2" fillId="12" borderId="1" xfId="26" applyNumberFormat="1" applyFont="1" applyFill="1" applyBorder="1" applyAlignment="1">
      <x:alignment horizontal="center" vertical="center" wrapText="1"/>
    </x:xf>
    <x:xf numFmtId="41" fontId="2" fillId="12" borderId="1" xfId="1" applyFont="1" applyFill="1" applyBorder="1" applyAlignment="1">
      <x:alignment vertical="center" wrapText="1"/>
    </x:xf>
    <x:xf numFmtId="0" fontId="4" fillId="12" borderId="160" xfId="3" applyFont="1" applyFill="1" applyBorder="1" applyAlignment="1">
      <x:alignment horizontal="center" vertical="center"/>
    </x:xf>
    <x:xf numFmtId="0" fontId="13" fillId="0" borderId="0" xfId="4" applyFont="1" applyAlignment="1">
      <x:alignment vertical="center" wrapText="1"/>
    </x:xf>
    <x:xf numFmtId="191" fontId="4" fillId="6" borderId="176" xfId="2" applyNumberFormat="1" applyFont="1" applyFill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181" fontId="134" fillId="12" borderId="1" xfId="0" applyNumberFormat="1" applyFont="1" applyFill="1" applyBorder="1" applyAlignment="1">
      <x:alignment horizontal="center" vertical="center"/>
    </x:xf>
    <x:xf numFmtId="10" fontId="4" fillId="0" borderId="175" xfId="2" applyNumberFormat="1" applyFont="1" applyBorder="1" applyAlignment="1">
      <x:alignment horizontal="center" vertical="center"/>
    </x:xf>
    <x:xf numFmtId="0" fontId="4" fillId="0" borderId="0" xfId="0" applyFont="1" applyAlignment="1"/>
    <x:xf numFmtId="0" fontId="4" fillId="6" borderId="3" xfId="9" applyFont="1" applyFill="1" applyBorder="1" applyAlignment="1">
      <x:alignment horizontal="center" vertical="center"/>
    </x:xf>
    <x:xf numFmtId="0" fontId="4" fillId="6" borderId="29" xfId="15" applyFont="1" applyFill="1" applyBorder="1" applyAlignment="1">
      <x:alignment horizontal="center" vertical="center" wrapText="1"/>
    </x:xf>
    <x:xf numFmtId="14" fontId="4" fillId="0" borderId="32" xfId="0" applyNumberFormat="1" applyFont="1" applyBorder="1" applyAlignment="1">
      <x:alignment horizontal="center" vertical="center"/>
    </x:xf>
    <x:xf numFmtId="0" fontId="65" fillId="6" borderId="0" xfId="7" applyFont="1" applyFill="1">
      <x:alignment vertical="center"/>
    </x:xf>
    <x:xf numFmtId="0" fontId="4" fillId="12" borderId="1" xfId="9" applyFont="1" applyFill="1" applyBorder="1" applyAlignment="1">
      <x:alignment horizontal="center" vertical="center" wrapText="1"/>
    </x:xf>
    <x:xf numFmtId="181" fontId="75" fillId="6" borderId="1" xfId="26" applyNumberFormat="1" applyFont="1" applyFill="1" applyBorder="1" applyAlignment="1">
      <x:alignment horizontal="left" vertical="center"/>
    </x:xf>
    <x:xf numFmtId="0" fontId="4" fillId="0" borderId="35" xfId="0" applyFont="1" applyBorder="1" applyAlignment="1">
      <x:alignment horizontal="center" vertical="center"/>
    </x:xf>
    <x:xf numFmtId="14" fontId="71" fillId="6" borderId="1" xfId="26" applyNumberFormat="1" applyFont="1" applyFill="1" applyBorder="1" applyAlignment="1">
      <x:alignment horizontal="center" vertical="center"/>
    </x:xf>
    <x:xf numFmtId="181" fontId="4" fillId="6" borderId="4" xfId="26" applyNumberFormat="1" applyFont="1" applyFill="1" applyBorder="1" applyAlignment="1">
      <x:alignment horizontal="right" vertical="center"/>
    </x:xf>
    <x:xf numFmtId="0" fontId="4" fillId="6" borderId="1" xfId="7" applyFont="1" applyFill="1" applyBorder="1" applyAlignment="1">
      <x:alignment horizontal="center" vertical="center" wrapText="1"/>
    </x:xf>
    <x:xf numFmtId="0" fontId="4" fillId="6" borderId="128" xfId="7" applyFont="1" applyFill="1" applyBorder="1" applyAlignment="1">
      <x:alignment horizontal="center" vertical="center"/>
    </x:xf>
    <x:xf numFmtId="181" fontId="26" fillId="6" borderId="1" xfId="26" applyNumberFormat="1" applyFont="1" applyFill="1" applyBorder="1" applyAlignment="1">
      <x:alignment horizontal="right" vertical="center"/>
    </x:xf>
    <x:xf numFmtId="189" fontId="13" fillId="12" borderId="1" xfId="4" applyNumberFormat="1" applyFont="1" applyFill="1" applyBorder="1" applyAlignment="1">
      <x:alignment horizontal="center" vertical="center"/>
    </x:xf>
    <x:xf numFmtId="181" fontId="4" fillId="6" borderId="160" xfId="3" applyNumberFormat="1" applyFont="1" applyFill="1" applyBorder="1" applyAlignment="1">
      <x:alignment horizontal="right" vertical="center"/>
    </x:xf>
    <x:xf numFmtId="14" fontId="134" fillId="12" borderId="1" xfId="0" applyNumberFormat="1" applyFont="1" applyFill="1" applyBorder="1" applyAlignment="1">
      <x:alignment horizontal="center" vertical="center"/>
    </x:xf>
    <x:xf numFmtId="0" fontId="66" fillId="12" borderId="160" xfId="15" applyFont="1" applyFill="1" applyBorder="1" applyAlignment="1">
      <x:alignment horizontal="center" vertical="center" wrapText="1"/>
    </x:xf>
    <x:xf numFmtId="0" fontId="35" fillId="0" borderId="0" xfId="7" applyFont="1" applyAlignment="1">
      <x:alignment horizontal="left" vertical="center"/>
    </x:xf>
    <x:xf numFmtId="0" fontId="4" fillId="6" borderId="127" xfId="26" applyFont="1" applyFill="1" applyBorder="1" applyAlignment="1">
      <x:alignment horizontal="center" vertical="center"/>
    </x:xf>
    <x:xf numFmtId="0" fontId="65" fillId="0" borderId="1" xfId="0" applyFont="1" applyBorder="1" applyAlignment="1">
      <x:alignment horizontal="center" vertical="center"/>
    </x:xf>
    <x:xf numFmtId="0" fontId="129" fillId="0" borderId="176" xfId="0" applyFont="1" applyBorder="1" applyAlignment="1">
      <x:alignment horizontal="center" vertical="center" wrapText="1" readingOrder="1"/>
    </x:xf>
    <x:xf numFmtId="192" fontId="129" fillId="0" borderId="172" xfId="0" applyNumberFormat="1" applyFont="1" applyBorder="1" applyAlignment="1">
      <x:alignment horizontal="center" vertical="center" wrapText="1" readingOrder="1"/>
    </x:xf>
    <x:xf numFmtId="0" fontId="4" fillId="6" borderId="6" xfId="7" applyFont="1" applyFill="1" applyBorder="1" applyAlignment="1">
      <x:alignment horizontal="center" vertical="center"/>
    </x:xf>
    <x:xf numFmtId="0" fontId="71" fillId="12" borderId="160" xfId="9" applyFont="1" applyFill="1" applyBorder="1" applyAlignment="1">
      <x:alignment horizontal="center" vertical="center"/>
    </x:xf>
    <x:xf numFmtId="0" fontId="71" fillId="5" borderId="2" xfId="0" applyFont="1" applyFill="1" applyBorder="1" applyAlignment="1">
      <x:alignment horizontal="center" vertical="center"/>
    </x:xf>
    <x:xf numFmtId="0" fontId="4" fillId="6" borderId="8" xfId="7" applyFont="1" applyFill="1" applyBorder="1" applyAlignment="1">
      <x:alignment horizontal="center" vertical="center"/>
    </x:xf>
    <x:xf numFmtId="187" fontId="4" fillId="0" borderId="127" xfId="0" applyNumberFormat="1" applyFont="1" applyBorder="1" applyAlignment="1">
      <x:alignment horizontal="center" vertical="center"/>
    </x:xf>
    <x:xf numFmtId="0" fontId="9" fillId="0" borderId="0" xfId="7" applyFont="1">
      <x:alignment vertical="center"/>
    </x:xf>
    <x:xf numFmtId="0" fontId="2" fillId="6" borderId="8" xfId="7" applyFont="1" applyFill="1" applyBorder="1" applyAlignment="1">
      <x:alignment horizontal="center" vertical="center"/>
    </x:xf>
    <x:xf numFmtId="10" fontId="4" fillId="0" borderId="125" xfId="0" applyNumberFormat="1" applyFont="1" applyBorder="1" applyAlignment="1">
      <x:alignment horizontal="center" vertical="center"/>
    </x:xf>
    <x:xf numFmtId="0" fontId="129" fillId="0" borderId="173" xfId="0" applyFont="1" applyBorder="1" applyAlignment="1">
      <x:alignment horizontal="center" vertical="center" wrapText="1" readingOrder="1"/>
    </x:xf>
    <x:xf numFmtId="41" fontId="4" fillId="0" borderId="0" xfId="7" applyNumberFormat="1" applyFont="1" applyAlignment="1">
      <x:alignment horizontal="center" vertical="center"/>
    </x:xf>
    <x:xf numFmtId="181" fontId="75" fillId="12" borderId="1" xfId="26" applyNumberFormat="1" applyFont="1" applyFill="1" applyBorder="1" applyAlignment="1">
      <x:alignment horizontal="right" vertical="center"/>
    </x:xf>
    <x:xf numFmtId="181" fontId="75" fillId="12" borderId="1" xfId="26" applyNumberFormat="1" applyFont="1" applyFill="1" applyBorder="1" applyAlignment="1">
      <x:alignment horizontal="center" vertical="center"/>
    </x:xf>
    <x:xf numFmtId="200" fontId="4" fillId="6" borderId="8" xfId="8" applyNumberFormat="1" applyFont="1" applyFill="1" applyBorder="1" applyAlignment="1">
      <x:alignment horizontal="center" vertical="center"/>
    </x:xf>
    <x:xf numFmtId="3" fontId="129" fillId="0" borderId="175" xfId="0" applyNumberFormat="1" applyFont="1" applyBorder="1" applyAlignment="1">
      <x:alignment horizontal="center" vertical="center" wrapText="1" readingOrder="1"/>
    </x:xf>
    <x:xf numFmtId="41" fontId="10" fillId="6" borderId="36" xfId="1" applyFont="1" applyFill="1" applyBorder="1" applyAlignment="1">
      <x:alignment horizontal="center" vertical="center" wrapText="1"/>
    </x:xf>
    <x:xf numFmtId="0" fontId="4" fillId="6" borderId="37" xfId="15" applyFont="1" applyFill="1" applyBorder="1" applyAlignment="1">
      <x:alignment horizontal="center" vertical="center" wrapText="1"/>
    </x:xf>
    <x:xf numFmtId="0" fontId="65" fillId="0" borderId="0" xfId="0" applyFont="1" applyAlignment="1">
      <x:alignment horizontal="center" vertical="center"/>
    </x:xf>
    <x:xf numFmtId="201" fontId="4" fillId="6" borderId="8" xfId="8" applyNumberFormat="1" applyFont="1" applyFill="1" applyBorder="1" applyAlignment="1">
      <x:alignment horizontal="center" vertical="center" shrinkToFit="1"/>
    </x:xf>
    <x:xf numFmtId="201" fontId="4" fillId="10" borderId="8" xfId="8" applyNumberFormat="1" applyFont="1" applyFill="1" applyBorder="1" applyAlignment="1">
      <x:alignment horizontal="center" vertical="center" shrinkToFit="1"/>
    </x:xf>
    <x:xf numFmtId="201" fontId="4" fillId="10" borderId="10" xfId="8" applyNumberFormat="1" applyFont="1" applyFill="1" applyBorder="1" applyAlignment="1">
      <x:alignment horizontal="center" vertical="center"/>
    </x:xf>
    <x:xf numFmtId="0" fontId="4" fillId="6" borderId="4" xfId="9" applyFont="1" applyFill="1" applyBorder="1" applyAlignment="1">
      <x:alignment horizontal="center" vertical="center"/>
    </x:xf>
    <x:xf numFmtId="0" fontId="71" fillId="12" borderId="162" xfId="9" applyFont="1" applyFill="1" applyBorder="1" applyAlignment="1">
      <x:alignment horizontal="center" vertical="center"/>
    </x:xf>
    <x:xf numFmtId="190" fontId="4" fillId="6" borderId="1" xfId="4" applyNumberFormat="1" applyFont="1" applyFill="1" applyBorder="1" applyAlignment="1">
      <x:alignment horizontal="right" vertical="center"/>
    </x:xf>
    <x:xf numFmtId="0" fontId="4" fillId="12" borderId="64" xfId="9" applyFont="1" applyFill="1" applyBorder="1" applyAlignment="1">
      <x:alignment horizontal="center" vertical="center"/>
    </x:xf>
    <x:xf numFmtId="181" fontId="4" fillId="12" borderId="160" xfId="3" applyNumberFormat="1" applyFont="1" applyFill="1" applyBorder="1" applyAlignment="1">
      <x:alignment horizontal="right" vertical="center"/>
    </x:xf>
    <x:xf numFmtId="0" fontId="4" fillId="12" borderId="65" xfId="9" applyFont="1" applyFill="1" applyBorder="1" applyAlignment="1">
      <x:alignment horizontal="center" vertical="center"/>
    </x:xf>
    <x:xf numFmtId="0" fontId="84" fillId="12" borderId="184" xfId="0" applyFont="1" applyFill="1" applyBorder="1" applyAlignment="1">
      <x:alignment horizontal="center" vertical="center" wrapText="1" readingOrder="1"/>
    </x:xf>
    <x:xf numFmtId="0" fontId="4" fillId="12" borderId="1" xfId="26" applyFont="1" applyFill="1" applyBorder="1" applyAlignment="1">
      <x:alignment horizontal="left" vertical="center"/>
    </x:xf>
    <x:xf numFmtId="209" fontId="4" fillId="0" borderId="53" xfId="0" applyNumberFormat="1" applyFont="1" applyBorder="1" applyAlignment="1">
      <x:alignment horizontal="center" vertical="center"/>
    </x:xf>
    <x:xf numFmtId="0" fontId="65" fillId="0" borderId="0" xfId="0" applyFont="1">
      <x:alignment vertical="center"/>
    </x:xf>
    <x:xf numFmtId="0" fontId="4" fillId="6" borderId="1" xfId="26" applyFont="1" applyFill="1" applyBorder="1" applyAlignment="1">
      <x:alignment horizontal="center" vertical="center"/>
    </x:xf>
    <x:xf numFmtId="0" fontId="4" fillId="6" borderId="1" xfId="3" applyFont="1" applyFill="1" applyBorder="1" applyAlignment="1">
      <x:alignment horizontal="center" vertical="center"/>
    </x:xf>
    <x:xf numFmtId="9" fontId="65" fillId="0" borderId="160" xfId="2" applyFont="1" applyBorder="1" applyAlignment="1">
      <x:alignment horizontal="center" vertical="center"/>
    </x:xf>
    <x:xf numFmtId="10" fontId="65" fillId="0" borderId="0" xfId="2" applyNumberFormat="1" applyFont="1" applyAlignment="1">
      <x:alignment horizontal="center" vertical="center"/>
    </x:xf>
    <x:xf numFmtId="0" fontId="4" fillId="6" borderId="1" xfId="7" applyFont="1" applyFill="1" applyBorder="1">
      <x:alignment vertical="center"/>
    </x:xf>
    <x:xf numFmtId="200" fontId="2" fillId="6" borderId="8" xfId="8" applyNumberFormat="1" applyFont="1" applyFill="1" applyBorder="1" applyAlignment="1">
      <x:alignment horizontal="center" vertical="center"/>
    </x:xf>
    <x:xf numFmtId="192" fontId="129" fillId="0" borderId="121" xfId="0" applyNumberFormat="1" applyFont="1" applyBorder="1" applyAlignment="1">
      <x:alignment horizontal="left" vertical="center" readingOrder="1"/>
    </x:xf>
    <x:xf numFmtId="0" fontId="4" fillId="12" borderId="1" xfId="26" applyFont="1" applyFill="1" applyBorder="1" applyAlignment="1">
      <x:alignment horizontal="center" vertical="center"/>
    </x:xf>
    <x:xf numFmtId="0" fontId="71" fillId="12" borderId="1" xfId="9" applyFont="1" applyFill="1" applyBorder="1" applyAlignment="1">
      <x:alignment horizontal="center" vertical="center"/>
    </x:xf>
    <x:xf numFmtId="181" fontId="4" fillId="6" borderId="1" xfId="26" applyNumberFormat="1" applyFont="1" applyFill="1" applyBorder="1" applyAlignment="1">
      <x:alignment horizontal="center" vertical="center"/>
    </x:xf>
    <x:xf numFmtId="0" fontId="2" fillId="12" borderId="21" xfId="7" applyFont="1" applyFill="1" applyBorder="1" applyAlignment="1">
      <x:alignment vertical="center" shrinkToFit="1"/>
    </x:xf>
    <x:xf numFmtId="0" fontId="46" fillId="6" borderId="1" xfId="0" applyFont="1" applyFill="1" applyBorder="1" applyAlignment="1">
      <x:alignment horizontal="center" vertical="center"/>
    </x:xf>
    <x:xf numFmtId="0" fontId="129" fillId="0" borderId="182" xfId="0" applyFont="1" applyBorder="1" applyAlignment="1">
      <x:alignment horizontal="center" vertical="center" wrapText="1" readingOrder="1"/>
    </x:xf>
    <x:xf numFmtId="177" fontId="65" fillId="12" borderId="160" xfId="0" applyNumberFormat="1" applyFont="1" applyFill="1" applyBorder="1" applyAlignment="1">
      <x:alignment horizontal="right" vertical="center"/>
    </x:xf>
    <x:xf numFmtId="209" fontId="4" fillId="0" borderId="127" xfId="0" applyNumberFormat="1" applyFont="1" applyBorder="1" applyAlignment="1">
      <x:alignment horizontal="center" vertical="center"/>
    </x:xf>
    <x:xf numFmtId="0" fontId="4" fillId="0" borderId="36" xfId="0" applyFont="1" applyBorder="1" applyAlignment="1">
      <x:alignment horizontal="center" vertical="center"/>
    </x:xf>
    <x:xf numFmtId="14" fontId="50" fillId="0" borderId="1" xfId="13" applyNumberFormat="1" applyFont="1" applyBorder="1" applyAlignment="1">
      <x:alignment horizontal="center" vertical="center" wrapText="1"/>
    </x:xf>
    <x:xf numFmtId="0" fontId="4" fillId="6" borderId="15" xfId="7" applyFont="1" applyFill="1" applyBorder="1" applyAlignment="1">
      <x:alignment horizontal="center" vertical="center" shrinkToFit="1"/>
    </x:xf>
    <x:xf numFmtId="0" fontId="65" fillId="6" borderId="1" xfId="7" applyFont="1" applyFill="1" applyBorder="1" applyAlignment="1">
      <x:alignment horizontal="center" vertical="center"/>
    </x:xf>
    <x:xf numFmtId="41" fontId="10" fillId="6" borderId="48" xfId="1" applyFont="1" applyFill="1" applyBorder="1" applyAlignment="1">
      <x:alignment horizontal="center" vertical="center" wrapText="1"/>
    </x:xf>
    <x:xf numFmtId="3" fontId="129" fillId="12" borderId="181" xfId="0" applyNumberFormat="1" applyFont="1" applyFill="1" applyBorder="1" applyAlignment="1">
      <x:alignment horizontal="center" vertical="center" wrapText="1" readingOrder="1"/>
    </x:xf>
    <x:xf numFmtId="0" fontId="129" fillId="0" borderId="178" xfId="0" applyFont="1" applyBorder="1" applyAlignment="1">
      <x:alignment horizontal="right" vertical="center" wrapText="1" readingOrder="1"/>
    </x:xf>
    <x:xf numFmtId="0" fontId="134" fillId="12" borderId="1" xfId="26" applyFont="1" applyFill="1" applyBorder="1" applyAlignment="1">
      <x:alignment horizontal="center" vertical="center"/>
    </x:xf>
    <x:xf numFmtId="0" fontId="65" fillId="0" borderId="0" xfId="7" applyFont="1" applyAlignment="1">
      <x:alignment horizontal="right" vertical="center"/>
    </x:xf>
    <x:xf numFmtId="187" fontId="13" fillId="6" borderId="1" xfId="0" applyNumberFormat="1" applyFont="1" applyFill="1" applyBorder="1" applyAlignment="1">
      <x:alignment horizontal="center" vertical="center"/>
    </x:xf>
    <x:xf numFmtId="0" fontId="4" fillId="12" borderId="160" xfId="9" applyFont="1" applyFill="1" applyBorder="1" applyAlignment="1">
      <x:alignment horizontal="center" vertical="center"/>
    </x:xf>
    <x:xf numFmtId="0" fontId="26" fillId="6" borderId="1" xfId="26" applyFont="1" applyFill="1" applyBorder="1"/>
    <x:xf numFmtId="186" fontId="130" fillId="0" borderId="1" xfId="3" applyNumberFormat="1" applyFont="1" applyBorder="1" applyAlignment="1">
      <x:alignment horizontal="center" vertical="center"/>
    </x:xf>
    <x:xf numFmtId="0" fontId="138" fillId="12" borderId="160" xfId="0" applyFont="1" applyFill="1" applyBorder="1" applyAlignment="1">
      <x:alignment horizontal="center" vertical="center" wrapText="1"/>
    </x:xf>
    <x:xf numFmtId="186" fontId="13" fillId="0" borderId="127" xfId="3" applyNumberFormat="1" applyFont="1" applyBorder="1" applyAlignment="1">
      <x:alignment horizontal="center" vertical="center"/>
    </x:xf>
    <x:xf numFmtId="0" fontId="4" fillId="6" borderId="4" xfId="26" applyFont="1" applyFill="1" applyBorder="1"/>
    <x:xf numFmtId="0" fontId="4" fillId="12" borderId="122" xfId="15" applyFont="1" applyFill="1" applyBorder="1" applyAlignment="1">
      <x:alignment horizontal="center" vertical="center" wrapText="1"/>
    </x:xf>
    <x:xf numFmtId="188" fontId="2" fillId="6" borderId="1" xfId="0" applyNumberFormat="1" applyFont="1" applyFill="1" applyBorder="1" applyAlignment="1">
      <x:alignment horizontal="left" vertical="center"/>
    </x:xf>
    <x:xf numFmtId="0" fontId="129" fillId="6" borderId="1" xfId="7" applyFont="1" applyFill="1" applyBorder="1" applyAlignment="1">
      <x:alignment horizontal="center" vertical="center"/>
    </x:xf>
    <x:xf numFmtId="0" fontId="9" fillId="0" borderId="0" xfId="26" applyFont="1"/>
    <x:xf numFmtId="190" fontId="13" fillId="6" borderId="162" xfId="4" applyNumberFormat="1" applyFont="1" applyFill="1" applyBorder="1" applyAlignment="1">
      <x:alignment horizontal="right" vertical="center"/>
    </x:xf>
    <x:xf numFmtId="0" fontId="4" fillId="0" borderId="1" xfId="0" applyFont="1" applyBorder="1" applyAlignment="1">
      <x:alignment vertical="center" wrapText="1"/>
    </x:xf>
    <x:xf numFmtId="0" fontId="129" fillId="0" borderId="180" xfId="0" applyFont="1" applyBorder="1" applyAlignment="1">
      <x:alignment horizontal="center" vertical="center" wrapText="1" readingOrder="1"/>
    </x:xf>
    <x:xf numFmtId="41" fontId="4" fillId="6" borderId="1" xfId="7" applyNumberFormat="1" applyFont="1" applyFill="1" applyBorder="1" applyAlignment="1">
      <x:alignment horizontal="center" vertical="center"/>
    </x:xf>
    <x:xf numFmtId="41" fontId="10" fillId="12" borderId="43" xfId="1" applyFont="1" applyFill="1" applyBorder="1" applyAlignment="1">
      <x:alignment horizontal="center" vertical="center" wrapText="1"/>
    </x:xf>
    <x:xf numFmtId="0" fontId="4" fillId="6" borderId="6" xfId="9" applyFont="1" applyFill="1" applyBorder="1" applyAlignment="1">
      <x:alignment horizontal="center" vertical="center"/>
    </x:xf>
    <x:xf numFmtId="9" fontId="65" fillId="0" borderId="160" xfId="0" applyNumberFormat="1" applyFont="1" applyBorder="1" applyAlignment="1">
      <x:alignment horizontal="center" vertical="center"/>
    </x:xf>
    <x:xf numFmtId="199" fontId="75" fillId="12" borderId="1" xfId="26" applyNumberFormat="1" applyFont="1" applyFill="1" applyBorder="1" applyAlignment="1">
      <x:alignment horizontal="center" vertical="center"/>
    </x:xf>
    <x:xf numFmtId="0" fontId="4" fillId="0" borderId="0" xfId="26" applyFont="1"/>
    <x:xf numFmtId="0" fontId="10" fillId="48" borderId="30" xfId="7" applyFont="1" applyFill="1" applyBorder="1" applyAlignment="1">
      <x:alignment horizontal="center" vertical="center" wrapText="1"/>
    </x:xf>
    <x:xf numFmtId="14" fontId="4" fillId="6" borderId="127" xfId="3" applyNumberFormat="1" applyFont="1" applyFill="1" applyBorder="1" applyAlignment="1">
      <x:alignment horizontal="center" vertical="center"/>
    </x:xf>
    <x:xf numFmtId="0" fontId="46" fillId="48" borderId="1" xfId="7" applyFont="1" applyFill="1" applyBorder="1" applyAlignment="1">
      <x:alignment horizontal="center" vertical="center" wrapText="1"/>
    </x:xf>
    <x:xf numFmtId="181" fontId="4" fillId="12" borderId="1" xfId="26" applyNumberFormat="1" applyFont="1" applyFill="1" applyBorder="1" applyAlignment="1">
      <x:alignment horizontal="right" vertical="center"/>
    </x:xf>
    <x:xf numFmtId="0" fontId="27" fillId="12" borderId="1" xfId="25" applyFont="1" applyFill="1" applyBorder="1" applyAlignment="1">
      <x:alignment horizontal="center" vertical="center" wrapText="1"/>
    </x:xf>
    <x:xf numFmtId="0" fontId="4" fillId="6" borderId="15" xfId="7" applyFont="1" applyFill="1" applyBorder="1" applyAlignment="1">
      <x:alignment horizontal="center" vertical="center"/>
    </x:xf>
    <x:xf numFmtId="0" fontId="4" fillId="12" borderId="174" xfId="9" applyFont="1" applyFill="1" applyBorder="1" applyAlignment="1">
      <x:alignment horizontal="center" vertical="center"/>
    </x:xf>
    <x:xf numFmtId="190" fontId="4" fillId="6" borderId="29" xfId="4" applyNumberFormat="1" applyFont="1" applyFill="1" applyBorder="1" applyAlignment="1">
      <x:alignment horizontal="right" vertical="center"/>
    </x:xf>
    <x:xf numFmtId="0" fontId="65" fillId="6" borderId="127" xfId="7" applyFont="1" applyFill="1" applyBorder="1">
      <x:alignment vertical="center"/>
    </x:xf>
    <x:xf numFmtId="3" fontId="4" fillId="0" borderId="127" xfId="0" applyNumberFormat="1" applyFont="1" applyBorder="1" applyAlignment="1">
      <x:alignment vertical="center" wrapText="1"/>
    </x:xf>
    <x:xf numFmtId="0" fontId="9" fillId="0" borderId="0" xfId="0" applyFont="1">
      <x:alignment vertical="center"/>
    </x:xf>
    <x:xf numFmtId="0" fontId="72" fillId="12" borderId="1" xfId="7" applyFont="1" applyFill="1" applyBorder="1" applyAlignment="1">
      <x:alignment horizontal="center" vertical="center"/>
    </x:xf>
    <x:xf numFmtId="49" fontId="82" fillId="6" borderId="1" xfId="7" applyNumberFormat="1" applyFont="1" applyFill="1" applyBorder="1" applyAlignment="1">
      <x:alignment horizontal="center" vertical="center"/>
    </x:xf>
    <x:xf numFmtId="186" fontId="13" fillId="0" borderId="1" xfId="3" applyNumberFormat="1" applyFont="1" applyBorder="1" applyAlignment="1">
      <x:alignment horizontal="center" vertical="center"/>
    </x:xf>
    <x:xf numFmtId="41" fontId="10" fillId="12" borderId="29" xfId="1" applyFont="1" applyFill="1" applyBorder="1" applyAlignment="1">
      <x:alignment horizontal="center" vertical="center" wrapText="1"/>
    </x:xf>
    <x:xf numFmtId="181" fontId="84" fillId="6" borderId="1" xfId="26" applyNumberFormat="1" applyFont="1" applyFill="1" applyBorder="1" applyAlignment="1">
      <x:alignment vertical="center"/>
    </x:xf>
    <x:xf numFmtId="0" fontId="4" fillId="6" borderId="2" xfId="4" applyFont="1" applyFill="1" applyBorder="1" applyAlignment="1">
      <x:alignment horizontal="center" vertical="center"/>
    </x:xf>
    <x:xf numFmtId="41" fontId="4" fillId="0" borderId="2" xfId="1" applyFont="1" applyBorder="1">
      <x:alignment vertical="center"/>
    </x:xf>
    <x:xf numFmtId="0" fontId="13" fillId="12" borderId="160" xfId="15" applyFont="1" applyFill="1" applyBorder="1" applyAlignment="1">
      <x:alignment horizontal="center" vertical="center" wrapText="1"/>
    </x:xf>
    <x:xf numFmtId="177" fontId="4" fillId="6" borderId="160" xfId="0" applyNumberFormat="1" applyFont="1" applyFill="1" applyBorder="1" applyAlignment="1">
      <x:alignment horizontal="right" vertical="center"/>
    </x:xf>
    <x:xf numFmtId="0" fontId="2" fillId="5" borderId="43" xfId="0" applyFont="1" applyFill="1" applyBorder="1" applyAlignment="1">
      <x:alignment horizontal="center" vertical="center"/>
    </x:xf>
    <x:xf numFmtId="0" fontId="2" fillId="5" borderId="57" xfId="0" applyFont="1" applyFill="1" applyBorder="1" applyAlignment="1">
      <x:alignment horizontal="center" vertical="center"/>
    </x:xf>
    <x:xf numFmtId="0" fontId="7" fillId="13" borderId="160" xfId="9" applyFont="1" applyFill="1" applyBorder="1" applyAlignment="1">
      <x:alignment horizontal="center" vertical="center"/>
    </x:xf>
    <x:xf numFmtId="0" fontId="4" fillId="12" borderId="1" xfId="9" applyFont="1" applyFill="1" applyBorder="1" applyAlignment="1">
      <x:alignment horizontal="center" vertical="center"/>
    </x:xf>
    <x:xf numFmtId="201" fontId="4" fillId="6" borderId="8" xfId="8" applyNumberFormat="1" applyFont="1" applyFill="1" applyBorder="1" applyAlignment="1">
      <x:alignment horizontal="center" vertical="center"/>
    </x:xf>
    <x:xf numFmtId="0" fontId="129" fillId="6" borderId="1" xfId="26" applyFont="1" applyFill="1" applyBorder="1" applyAlignment="1">
      <x:alignment horizontal="center" vertical="center"/>
    </x:xf>
    <x:xf numFmtId="0" fontId="82" fillId="6" borderId="127" xfId="7" applyFont="1" applyFill="1" applyBorder="1" applyAlignment="1">
      <x:alignment horizontal="center" vertical="center"/>
    </x:xf>
    <x:xf numFmtId="190" fontId="13" fillId="0" borderId="1" xfId="4" applyNumberFormat="1" applyFont="1" applyBorder="1" applyAlignment="1">
      <x:alignment horizontal="right" vertical="center"/>
    </x:xf>
    <x:xf numFmtId="181" fontId="4" fillId="6" borderId="37" xfId="26" applyNumberFormat="1" applyFont="1" applyFill="1" applyBorder="1" applyAlignment="1">
      <x:alignment horizontal="right" vertical="center"/>
    </x:xf>
    <x:xf numFmtId="0" fontId="4" fillId="0" borderId="171" xfId="7" applyFont="1" applyBorder="1">
      <x:alignment vertical="center"/>
    </x:xf>
    <x:xf numFmtId="182" fontId="4" fillId="6" borderId="1" xfId="7" applyNumberFormat="1" applyFont="1" applyFill="1" applyBorder="1" applyAlignment="1">
      <x:alignment horizontal="center" vertical="center"/>
    </x:xf>
    <x:xf numFmtId="3" fontId="129" fillId="0" borderId="181" xfId="0" applyNumberFormat="1" applyFont="1" applyBorder="1" applyAlignment="1">
      <x:alignment horizontal="center" vertical="center" wrapText="1" readingOrder="1"/>
    </x:xf>
    <x:xf numFmtId="181" fontId="138" fillId="12" borderId="160" xfId="0" applyNumberFormat="1" applyFont="1" applyFill="1" applyBorder="1" applyAlignment="1">
      <x:alignment horizontal="right" vertical="center"/>
    </x:xf>
    <x:xf numFmtId="0" fontId="95" fillId="0" borderId="0" xfId="13" applyFont="1"/>
    <x:xf numFmtId="181" fontId="4" fillId="6" borderId="127" xfId="26" applyNumberFormat="1" applyFont="1" applyFill="1" applyBorder="1" applyAlignment="1">
      <x:alignment horizontal="right" vertical="center"/>
    </x:xf>
    <x:xf numFmtId="41" fontId="10" fillId="12" borderId="30" xfId="1" applyFont="1" applyFill="1" applyBorder="1" applyAlignment="1">
      <x:alignment horizontal="center" vertical="center" wrapText="1"/>
    </x:xf>
    <x:xf numFmtId="41" fontId="129" fillId="0" borderId="176" xfId="1" applyFont="1" applyBorder="1" applyAlignment="1">
      <x:alignment horizontal="center" vertical="center" wrapText="1" readingOrder="1"/>
    </x:xf>
    <x:xf numFmtId="3" fontId="129" fillId="0" borderId="178" xfId="0" applyNumberFormat="1" applyFont="1" applyBorder="1" applyAlignment="1">
      <x:alignment horizontal="right" vertical="center" wrapText="1" readingOrder="1"/>
    </x:xf>
    <x:xf numFmtId="0" fontId="4" fillId="0" borderId="0" xfId="7" applyFont="1" applyAlignment="1">
      <x:alignment horizontal="center" vertical="center"/>
    </x:xf>
    <x:xf numFmtId="201" fontId="4" fillId="10" borderId="10" xfId="8" applyNumberFormat="1" applyFont="1" applyFill="1" applyBorder="1" applyAlignment="1">
      <x:alignment horizontal="center" vertical="center" shrinkToFit="1"/>
    </x:xf>
    <x:xf numFmtId="181" fontId="95" fillId="6" borderId="127" xfId="26" applyNumberFormat="1" applyFont="1" applyFill="1" applyBorder="1" applyAlignment="1">
      <x:alignment horizontal="right" vertical="center"/>
    </x:xf>
    <x:xf numFmtId="177" fontId="4" fillId="6" borderId="1" xfId="0" applyNumberFormat="1" applyFont="1" applyFill="1" applyBorder="1" applyAlignment="1">
      <x:alignment horizontal="right" vertical="center"/>
    </x:xf>
    <x:xf numFmtId="0" fontId="134" fillId="0" borderId="127" xfId="0" applyFont="1" applyBorder="1" applyAlignment="1">
      <x:alignment horizontal="center" vertical="center"/>
    </x:xf>
    <x:xf numFmtId="0" fontId="4" fillId="0" borderId="2" xfId="7" applyFont="1" applyBorder="1">
      <x:alignment vertical="center"/>
    </x:xf>
    <x:xf numFmtId="0" fontId="9" fillId="6" borderId="160" xfId="0" applyFont="1" applyFill="1" applyBorder="1" applyAlignment="1">
      <x:alignment horizontal="center" vertical="center"/>
    </x:xf>
    <x:xf numFmtId="0" fontId="4" fillId="46" borderId="161" xfId="0" applyFont="1" applyFill="1" applyBorder="1" applyAlignment="1">
      <x:alignment horizontal="center" vertical="center"/>
    </x:xf>
    <x:xf numFmtId="0" fontId="53" fillId="0" borderId="1" xfId="13" quotePrefix="1" applyFont="1" applyBorder="1" applyAlignment="1">
      <x:alignment horizontal="center" vertical="center" wrapText="1"/>
    </x:xf>
    <x:xf numFmtId="0" fontId="4" fillId="6" borderId="8" xfId="7" applyFont="1" applyFill="1" applyBorder="1" applyAlignment="1">
      <x:alignment horizontal="center" vertical="center" shrinkToFit="1"/>
    </x:xf>
    <x:xf numFmtId="0" fontId="4" fillId="12" borderId="29" xfId="4" applyFont="1" applyFill="1" applyBorder="1" applyAlignment="1">
      <x:alignment horizontal="center" vertical="center"/>
    </x:xf>
    <x:xf numFmtId="0" fontId="4" fillId="12" borderId="1" xfId="26" applyFont="1" applyFill="1" applyBorder="1"/>
    <x:xf numFmtId="0" fontId="4" fillId="6" borderId="3" xfId="7" applyFont="1" applyFill="1" applyBorder="1" applyAlignment="1">
      <x:alignment horizontal="center" vertical="center" shrinkToFit="1"/>
    </x:xf>
    <x:xf numFmtId="0" fontId="71" fillId="21" borderId="1" xfId="0" applyFont="1" applyFill="1" applyBorder="1" applyAlignment="1">
      <x:alignment horizontal="center" vertical="center"/>
    </x:xf>
    <x:xf numFmtId="177" fontId="4" fillId="12" borderId="1" xfId="0" applyNumberFormat="1" applyFont="1" applyFill="1" applyBorder="1" applyAlignment="1">
      <x:alignment horizontal="right" vertical="center"/>
    </x:xf>
    <x:xf numFmtId="41" fontId="10" fillId="6" borderId="37" xfId="1" applyFont="1" applyFill="1" applyBorder="1" applyAlignment="1">
      <x:alignment horizontal="center" vertical="center" wrapText="1"/>
    </x:xf>
    <x:xf numFmtId="41" fontId="129" fillId="12" borderId="175" xfId="1" applyFont="1" applyFill="1" applyBorder="1" applyAlignment="1">
      <x:alignment horizontal="center" vertical="center" wrapText="1" readingOrder="1"/>
    </x:xf>
    <x:xf numFmtId="0" fontId="71" fillId="0" borderId="1" xfId="0" applyFont="1" applyBorder="1" applyAlignment="1">
      <x:alignment horizontal="center" vertical="center"/>
    </x:xf>
    <x:xf numFmtId="177" fontId="4" fillId="6" borderId="176" xfId="0" applyNumberFormat="1" applyFont="1" applyFill="1" applyBorder="1" applyAlignment="1">
      <x:alignment horizontal="right" vertical="center"/>
    </x:xf>
    <x:xf numFmtId="9" fontId="4" fillId="0" borderId="160" xfId="0" applyNumberFormat="1" applyFont="1" applyBorder="1" applyAlignment="1">
      <x:alignment horizontal="center" vertical="center"/>
    </x:xf>
    <x:xf numFmtId="0" fontId="4" fillId="6" borderId="1" xfId="26" applyFont="1" applyFill="1" applyBorder="1" applyAlignment="1">
      <x:alignment horizontal="center"/>
    </x:xf>
    <x:xf numFmtId="10" fontId="4" fillId="6" borderId="160" xfId="0" applyNumberFormat="1" applyFont="1" applyFill="1" applyBorder="1">
      <x:alignment vertical="center"/>
    </x:xf>
    <x:xf numFmtId="181" fontId="4" fillId="6" borderId="127" xfId="26" applyNumberFormat="1" applyFont="1" applyFill="1" applyBorder="1" applyAlignment="1">
      <x:alignment horizontal="left" vertical="center"/>
    </x:xf>
    <x:xf numFmtId="0" fontId="129" fillId="6" borderId="1" xfId="0" applyFont="1" applyFill="1" applyBorder="1" applyAlignment="1">
      <x:alignment horizontal="center" vertical="center"/>
    </x:xf>
    <x:xf numFmtId="0" fontId="10" fillId="48" borderId="43" xfId="7" applyFont="1" applyFill="1" applyBorder="1" applyAlignment="1">
      <x:alignment horizontal="center" vertical="center" wrapText="1"/>
    </x:xf>
    <x:xf numFmtId="206" fontId="2" fillId="12" borderId="1" xfId="5" applyNumberFormat="1" applyFont="1" applyFill="1" applyBorder="1" applyAlignment="1">
      <x:alignment horizontal="center" vertical="center"/>
    </x:xf>
    <x:xf numFmtId="187" fontId="2" fillId="12" borderId="1" xfId="5" applyNumberFormat="1" applyFont="1" applyFill="1" applyBorder="1" applyAlignment="1">
      <x:alignment horizontal="center" vertical="center"/>
    </x:xf>
    <x:xf numFmtId="10" fontId="4" fillId="0" borderId="127" xfId="0" applyNumberFormat="1" applyFont="1" applyBorder="1" applyAlignment="1">
      <x:alignment horizontal="center" vertical="center"/>
    </x:xf>
    <x:xf numFmtId="0" fontId="72" fillId="6" borderId="1" xfId="7" applyFont="1" applyFill="1" applyBorder="1" applyAlignment="1">
      <x:alignment horizontal="center" vertical="center"/>
    </x:xf>
    <x:xf numFmtId="0" fontId="4" fillId="46" borderId="161" xfId="0" applyFont="1" applyFill="1" applyBorder="1" applyAlignment="1">
      <x:alignment horizontal="center" vertical="center" wrapText="1"/>
    </x:xf>
    <x:xf numFmtId="186" fontId="4" fillId="0" borderId="0" xfId="3" applyNumberFormat="1" applyFont="1" applyAlignment="1">
      <x:alignment horizontal="center" vertical="center"/>
    </x:xf>
    <x:xf numFmtId="0" fontId="4" fillId="6" borderId="1" xfId="9" applyFont="1" applyFill="1" applyBorder="1" applyAlignment="1">
      <x:alignment horizontal="center" vertical="center" wrapText="1"/>
    </x:xf>
    <x:xf numFmtId="0" fontId="84" fillId="12" borderId="63" xfId="0" applyFont="1" applyFill="1" applyBorder="1" applyAlignment="1">
      <x:alignment horizontal="center" vertical="center" wrapText="1" readingOrder="1"/>
    </x:xf>
    <x:xf numFmtId="181" fontId="134" fillId="12" borderId="1" xfId="0" applyNumberFormat="1" applyFont="1" applyFill="1" applyBorder="1">
      <x:alignment vertical="center"/>
    </x:xf>
    <x:xf numFmtId="201" fontId="4" fillId="6" borderId="6" xfId="8" applyNumberFormat="1" applyFont="1" applyFill="1" applyBorder="1" applyAlignment="1">
      <x:alignment horizontal="center" vertical="center" shrinkToFit="1"/>
    </x:xf>
    <x:xf numFmtId="0" fontId="84" fillId="12" borderId="183" xfId="0" applyFont="1" applyFill="1" applyBorder="1" applyAlignment="1">
      <x:alignment horizontal="center" vertical="center" wrapText="1" readingOrder="1"/>
    </x:xf>
    <x:xf numFmtId="41" fontId="136" fillId="0" borderId="0" xfId="1" applyFont="1" applyAlignment="1">
      <x:alignment horizontal="center" vertical="center" wrapText="1"/>
    </x:xf>
    <x:xf numFmtId="0" fontId="4" fillId="12" borderId="18" xfId="9" applyFont="1" applyFill="1" applyBorder="1" applyAlignment="1">
      <x:alignment horizontal="center" vertical="center"/>
    </x:xf>
    <x:xf numFmtId="0" fontId="4" fillId="12" borderId="1" xfId="26" applyFont="1" applyFill="1" applyBorder="1" applyAlignment="1">
      <x:alignment horizontal="center" vertical="center" wrapText="1"/>
    </x:xf>
    <x:xf numFmtId="199" fontId="4" fillId="6" borderId="1" xfId="26" applyNumberFormat="1" applyFont="1" applyFill="1" applyBorder="1" applyAlignment="1">
      <x:alignment horizontal="center" vertical="center"/>
    </x:xf>
    <x:xf numFmtId="208" fontId="4" fillId="6" borderId="144" xfId="2876" applyNumberFormat="1" applyFont="1" applyFill="1" applyBorder="1" applyAlignment="1">
      <x:alignment horizontal="right" vertical="center"/>
    </x:xf>
    <x:xf numFmtId="0" fontId="4" fillId="6" borderId="30" xfId="15" applyFont="1" applyFill="1" applyBorder="1" applyAlignment="1">
      <x:alignment horizontal="center" vertical="center" wrapText="1"/>
    </x:xf>
    <x:xf numFmtId="201" fontId="4" fillId="6" borderId="10" xfId="8" applyNumberFormat="1" applyFont="1" applyFill="1" applyBorder="1" applyAlignment="1">
      <x:alignment horizontal="center" vertical="center"/>
    </x:xf>
    <x:xf numFmtId="0" fontId="4" fillId="6" borderId="10" xfId="9" applyFont="1" applyFill="1" applyBorder="1" applyAlignment="1">
      <x:alignment horizontal="center" vertical="center"/>
    </x:xf>
    <x:xf numFmtId="209" fontId="4" fillId="0" borderId="32" xfId="0" applyNumberFormat="1" applyFont="1" applyBorder="1" applyAlignment="1">
      <x:alignment horizontal="center" vertical="center"/>
    </x:xf>
    <x:xf numFmtId="0" fontId="32" fillId="14" borderId="0" xfId="7" applyFont="1" applyFill="1">
      <x:alignment vertical="center"/>
    </x:xf>
    <x:xf numFmtId="177" fontId="4" fillId="0" borderId="175" xfId="0" applyNumberFormat="1" applyFont="1" applyBorder="1" applyAlignment="1">
      <x:alignment horizontal="right" vertical="center"/>
    </x:xf>
    <x:xf numFmtId="209" fontId="4" fillId="0" borderId="48" xfId="0" applyNumberFormat="1" applyFont="1" applyBorder="1" applyAlignment="1">
      <x:alignment horizontal="center" vertical="center"/>
    </x:xf>
    <x:xf numFmtId="181" fontId="4" fillId="6" borderId="9" xfId="3" applyNumberFormat="1" applyFont="1" applyFill="1" applyBorder="1" applyAlignment="1">
      <x:alignment horizontal="left" vertical="center"/>
    </x:xf>
    <x:xf numFmtId="190" fontId="13" fillId="6" borderId="1" xfId="4" applyNumberFormat="1" applyFont="1" applyFill="1" applyBorder="1" applyAlignment="1">
      <x:alignment horizontal="right" vertical="center"/>
    </x:xf>
    <x:xf numFmtId="0" fontId="140" fillId="15" borderId="185" xfId="15" applyFont="1" applyFill="1" applyBorder="1" applyAlignment="1">
      <x:alignment vertical="center"/>
    </x:xf>
    <x:xf numFmtId="0" fontId="65" fillId="6" borderId="1" xfId="7" applyFont="1" applyFill="1" applyBorder="1">
      <x:alignment vertical="center"/>
    </x:xf>
    <x:xf numFmtId="3" fontId="4" fillId="0" borderId="0" xfId="7" applyNumberFormat="1" applyFont="1" applyAlignment="1">
      <x:alignment horizontal="center" vertical="center"/>
    </x:xf>
    <x:xf numFmtId="0" fontId="2" fillId="0" borderId="0" xfId="7" applyFont="1" applyAlignment="1">
      <x:alignment horizontal="center" vertical="center"/>
    </x:xf>
    <x:xf numFmtId="186" fontId="13" fillId="6" borderId="127" xfId="3" applyNumberFormat="1" applyFont="1" applyFill="1" applyBorder="1" applyAlignment="1">
      <x:alignment horizontal="center" vertical="center"/>
    </x:xf>
    <x:xf numFmtId="200" fontId="4" fillId="0" borderId="0" xfId="7" applyNumberFormat="1" applyFont="1" applyAlignment="1">
      <x:alignment horizontal="center" vertical="center"/>
    </x:xf>
    <x:xf numFmtId="0" fontId="26" fillId="12" borderId="4" xfId="26" applyFont="1" applyFill="1" applyBorder="1" applyAlignment="1">
      <x:alignment horizontal="center" vertical="center"/>
    </x:xf>
    <x:xf numFmtId="0" fontId="71" fillId="12" borderId="1" xfId="0" applyFont="1" applyFill="1" applyBorder="1" applyAlignment="1">
      <x:alignment horizontal="center" vertical="center"/>
    </x:xf>
    <x:xf numFmtId="0" fontId="71" fillId="5" borderId="1" xfId="0" applyFont="1" applyFill="1" applyBorder="1" applyAlignment="1">
      <x:alignment horizontal="center" vertical="center"/>
    </x:xf>
    <x:xf numFmtId="0" fontId="65" fillId="0" borderId="0" xfId="7" applyFont="1" applyAlignment="1">
      <x:alignment horizontal="center" vertical="center"/>
    </x:xf>
    <x:xf numFmtId="41" fontId="99" fillId="6" borderId="1" xfId="8" applyFont="1" applyFill="1" applyBorder="1" applyAlignment="1">
      <x:alignment horizontal="center" vertical="center"/>
    </x:xf>
    <x:xf numFmtId="186" fontId="4" fillId="0" borderId="127" xfId="0" applyNumberFormat="1" applyFont="1" applyBorder="1" applyAlignment="1">
      <x:alignment horizontal="center" vertical="center"/>
    </x:xf>
    <x:xf numFmtId="0" fontId="71" fillId="0" borderId="0" xfId="26" applyFont="1"/>
    <x:xf numFmtId="10" fontId="4" fillId="6" borderId="176" xfId="2" applyNumberFormat="1" applyFont="1" applyFill="1" applyBorder="1" applyAlignment="1">
      <x:alignment horizontal="center" vertical="center"/>
    </x:xf>
    <x:xf numFmtId="181" fontId="129" fillId="6" borderId="1" xfId="0" applyNumberFormat="1" applyFont="1" applyFill="1" applyBorder="1">
      <x:alignment vertical="center"/>
    </x:xf>
    <x:xf numFmtId="41" fontId="4" fillId="6" borderId="1" xfId="8" applyFont="1" applyFill="1" applyBorder="1" applyAlignment="1">
      <x:alignment horizontal="center" vertical="center"/>
    </x:xf>
    <x:xf numFmtId="10" fontId="4" fillId="6" borderId="1" xfId="7" applyNumberFormat="1" applyFont="1" applyFill="1" applyBorder="1" applyAlignment="1">
      <x:alignment horizontal="center" vertical="center"/>
    </x:xf>
    <x:xf numFmtId="186" fontId="13" fillId="6" borderId="127" xfId="0" applyNumberFormat="1" applyFont="1" applyFill="1" applyBorder="1" applyAlignment="1">
      <x:alignment horizontal="center" vertical="center"/>
    </x:xf>
    <x:xf numFmtId="186" fontId="134" fillId="0" borderId="0" xfId="5" applyNumberFormat="1" applyFont="1" applyBorder="1" applyAlignment="1">
      <x:alignment horizontal="center" vertical="center"/>
    </x:xf>
    <x:xf numFmtId="0" fontId="84" fillId="12" borderId="62" xfId="0" applyFont="1" applyFill="1" applyBorder="1" applyAlignment="1">
      <x:alignment horizontal="center" vertical="center" wrapText="1" readingOrder="1"/>
    </x:xf>
    <x:xf numFmtId="181" fontId="75" fillId="6" borderId="1" xfId="26" applyNumberFormat="1" applyFont="1" applyFill="1" applyBorder="1" applyAlignment="1">
      <x:alignment horizontal="right" vertical="center"/>
    </x:xf>
    <x:xf numFmtId="185" fontId="4" fillId="12" borderId="1" xfId="10" applyNumberFormat="1" applyFont="1" applyFill="1" applyBorder="1" applyAlignment="1">
      <x:alignment horizontal="center" vertical="center"/>
    </x:xf>
    <x:xf numFmtId="0" fontId="4" fillId="6" borderId="4" xfId="4" applyFont="1" applyFill="1" applyBorder="1" applyAlignment="1">
      <x:alignment horizontal="center" vertical="center"/>
    </x:xf>
    <x:xf numFmtId="0" fontId="129" fillId="6" borderId="4" xfId="7" applyFont="1" applyFill="1" applyBorder="1" applyAlignment="1">
      <x:alignment horizontal="left" vertical="center"/>
    </x:xf>
    <x:xf numFmtId="178" fontId="13" fillId="0" borderId="0" xfId="5" applyFont="1" applyBorder="1" applyAlignment="1">
      <x:alignment vertical="center"/>
    </x:xf>
    <x:xf numFmtId="41" fontId="10" fillId="6" borderId="160" xfId="1" applyFont="1" applyFill="1" applyBorder="1" applyAlignment="1">
      <x:alignment horizontal="center" vertical="center" wrapText="1"/>
    </x:xf>
    <x:xf numFmtId="201" fontId="2" fillId="6" borderId="10" xfId="8" applyNumberFormat="1" applyFont="1" applyFill="1" applyBorder="1" applyAlignment="1">
      <x:alignment horizontal="center" vertical="center" shrinkToFit="1"/>
    </x:xf>
    <x:xf numFmtId="181" fontId="84" fillId="6" borderId="1" xfId="26" applyNumberFormat="1" applyFont="1" applyFill="1" applyBorder="1" applyAlignment="1">
      <x:alignment horizontal="right" vertical="center"/>
    </x:xf>
    <x:xf numFmtId="0" fontId="31" fillId="12" borderId="160" xfId="15" applyFont="1" applyFill="1" applyBorder="1" applyAlignment="1">
      <x:alignment horizontal="center" vertical="center" wrapText="1"/>
    </x:xf>
    <x:xf numFmtId="0" fontId="2" fillId="12" borderId="1" xfId="9" applyFont="1" applyFill="1" applyBorder="1" applyAlignment="1">
      <x:alignment horizontal="center" vertical="center"/>
    </x:xf>
    <x:xf numFmtId="0" fontId="4" fillId="6" borderId="0" xfId="7" applyFont="1" applyFill="1">
      <x:alignment vertical="center"/>
    </x:xf>
    <x:xf numFmtId="186" fontId="132" fillId="6" borderId="1" xfId="0" applyNumberFormat="1" applyFont="1" applyFill="1" applyBorder="1" applyAlignment="1">
      <x:alignment horizontal="center" vertical="center" shrinkToFit="1"/>
    </x:xf>
    <x:xf numFmtId="186" fontId="4" fillId="6" borderId="1" xfId="9" applyNumberFormat="1" applyFont="1" applyFill="1" applyBorder="1" applyAlignment="1">
      <x:alignment horizontal="center" vertical="center"/>
    </x:xf>
    <x:xf numFmtId="14" fontId="129" fillId="6" borderId="1" xfId="0" applyNumberFormat="1" applyFont="1" applyFill="1" applyBorder="1" applyAlignment="1">
      <x:alignment horizontal="center" vertical="center"/>
    </x:xf>
    <x:xf numFmtId="0" fontId="4" fillId="46" borderId="170" xfId="0" applyFont="1" applyFill="1" applyBorder="1" applyAlignment="1">
      <x:alignment horizontal="center" vertical="center" wrapText="1"/>
    </x:xf>
    <x:xf numFmtId="14" fontId="4" fillId="22" borderId="127" xfId="0" quotePrefix="1" applyNumberFormat="1" applyFont="1" applyFill="1" applyBorder="1" applyAlignment="1">
      <x:alignment horizontal="center" vertical="center"/>
    </x:xf>
    <x:xf numFmtId="0" fontId="2" fillId="5" borderId="30" xfId="0" applyFont="1" applyFill="1" applyBorder="1" applyAlignment="1">
      <x:alignment horizontal="center" vertical="center"/>
    </x:xf>
    <x:xf numFmtId="204" fontId="129" fillId="12" borderId="1" xfId="0" applyNumberFormat="1" applyFont="1" applyFill="1" applyBorder="1" applyAlignment="1">
      <x:alignment horizontal="left" vertical="center"/>
    </x:xf>
    <x:xf numFmtId="0" fontId="133" fillId="6" borderId="127" xfId="3" applyFont="1" applyFill="1" applyBorder="1" applyAlignment="1">
      <x:alignment horizontal="center" vertical="center"/>
    </x:xf>
    <x:xf numFmtId="186" fontId="13" fillId="6" borderId="1" xfId="3" applyNumberFormat="1" applyFont="1" applyFill="1" applyBorder="1" applyAlignment="1">
      <x:alignment horizontal="center" vertical="center"/>
    </x:xf>
    <x:xf numFmtId="0" fontId="129" fillId="12" borderId="118" xfId="0" applyFont="1" applyFill="1" applyBorder="1" applyAlignment="1">
      <x:alignment horizontal="center" vertical="center" wrapText="1" readingOrder="1"/>
    </x:xf>
    <x:xf numFmtId="209" fontId="4" fillId="11" borderId="37" xfId="0" applyNumberFormat="1" applyFont="1" applyFill="1" applyBorder="1" applyAlignment="1">
      <x:alignment horizontal="center" vertical="center"/>
    </x:xf>
    <x:xf numFmtId="0" fontId="4" fillId="6" borderId="1" xfId="26" applyFont="1" applyFill="1" applyBorder="1"/>
    <x:xf numFmtId="10" fontId="4" fillId="6" borderId="160" xfId="2" applyNumberFormat="1" applyFont="1" applyFill="1" applyBorder="1" applyAlignment="1">
      <x:alignment horizontal="right" vertical="center"/>
    </x:xf>
    <x:xf numFmtId="0" fontId="129" fillId="12" borderId="1" xfId="0" applyFont="1" applyFill="1" applyBorder="1" applyAlignment="1">
      <x:alignment horizontal="center" vertical="center" wrapText="1"/>
    </x:xf>
    <x:xf numFmtId="181" fontId="75" fillId="6" borderId="1" xfId="26" applyNumberFormat="1" applyFont="1" applyFill="1" applyBorder="1" applyAlignment="1">
      <x:alignment horizontal="center" vertical="center"/>
    </x:xf>
    <x:xf numFmtId="41" fontId="46" fillId="6" borderId="1" xfId="1" applyFont="1" applyFill="1" applyBorder="1" applyAlignment="1">
      <x:alignment horizontal="center" vertical="center" shrinkToFit="1"/>
    </x:xf>
    <x:xf numFmtId="177" fontId="44" fillId="16" borderId="160" xfId="0" applyNumberFormat="1" applyFont="1" applyFill="1" applyBorder="1" applyAlignment="1">
      <x:alignment horizontal="center" vertical="center" shrinkToFit="1"/>
    </x:xf>
    <x:xf numFmtId="0" fontId="4" fillId="6" borderId="160" xfId="9" applyFont="1" applyFill="1" applyBorder="1" applyAlignment="1">
      <x:alignment horizontal="center" vertical="center"/>
    </x:xf>
    <x:xf numFmtId="0" fontId="10" fillId="48" borderId="127" xfId="7" applyFont="1" applyFill="1" applyBorder="1" applyAlignment="1">
      <x:alignment horizontal="center" vertical="center" wrapText="1"/>
    </x:xf>
    <x:xf numFmtId="0" fontId="4" fillId="6" borderId="1" xfId="26" applyFont="1" applyFill="1" applyBorder="1" applyAlignment="1">
      <x:alignment horizontal="center" vertical="center" wrapText="1"/>
    </x:xf>
    <x:xf numFmtId="0" fontId="4" fillId="12" borderId="47" xfId="15" applyFont="1" applyFill="1" applyBorder="1" applyAlignment="1">
      <x:alignment horizontal="center" vertical="center" wrapText="1"/>
    </x:xf>
    <x:xf numFmtId="181" fontId="27" fillId="6" borderId="1" xfId="25" applyNumberFormat="1" applyFont="1" applyFill="1" applyBorder="1" applyAlignment="1">
      <x:alignment horizontal="right" vertical="center"/>
    </x:xf>
    <x:xf numFmtId="0" fontId="129" fillId="6" borderId="1" xfId="7" applyFont="1" applyFill="1" applyBorder="1" applyAlignment="1">
      <x:alignment horizontal="center" vertical="center" wrapText="1"/>
    </x:xf>
    <x:xf numFmtId="0" fontId="4" fillId="6" borderId="127" xfId="0" applyFont="1" applyFill="1" applyBorder="1" applyAlignment="1">
      <x:alignment horizontal="left" vertical="center"/>
    </x:xf>
    <x:xf numFmtId="0" fontId="10" fillId="48" borderId="29" xfId="7" applyFont="1" applyFill="1" applyBorder="1" applyAlignment="1">
      <x:alignment horizontal="center" vertical="center" wrapText="1"/>
    </x:xf>
    <x:xf numFmtId="41" fontId="10" fillId="6" borderId="168" xfId="1" applyFont="1" applyFill="1" applyBorder="1" applyAlignment="1">
      <x:alignment horizontal="center" vertical="center" wrapText="1"/>
    </x:xf>
    <x:xf numFmtId="190" fontId="4" fillId="12" borderId="1" xfId="4" applyNumberFormat="1" applyFont="1" applyFill="1" applyBorder="1" applyAlignment="1">
      <x:alignment horizontal="right" vertical="center"/>
    </x:xf>
    <x:xf numFmtId="181" fontId="2" fillId="12" borderId="127" xfId="26" applyNumberFormat="1" applyFont="1" applyFill="1" applyBorder="1" applyAlignment="1">
      <x:alignment horizontal="right" vertical="center"/>
    </x:xf>
    <x:xf numFmtId="41" fontId="10" fillId="6" borderId="162" xfId="1" applyFont="1" applyFill="1" applyBorder="1" applyAlignment="1">
      <x:alignment horizontal="center" vertical="center" wrapText="1"/>
    </x:xf>
    <x:xf numFmtId="186" fontId="4" fillId="6" borderId="127" xfId="3" applyNumberFormat="1" applyFont="1" applyFill="1" applyBorder="1" applyAlignment="1">
      <x:alignment horizontal="center" vertical="center"/>
    </x:xf>
    <x:xf numFmtId="0" fontId="65" fillId="12" borderId="160" xfId="7" applyFont="1" applyFill="1" applyBorder="1" applyAlignment="1">
      <x:alignment horizontal="center" vertical="center"/>
    </x:xf>
    <x:xf numFmtId="177" fontId="4" fillId="0" borderId="160" xfId="3" applyNumberFormat="1" applyFont="1" applyBorder="1" applyAlignment="1">
      <x:alignment horizontal="center" vertical="center"/>
    </x:xf>
    <x:xf numFmtId="0" fontId="4" fillId="6" borderId="37" xfId="4" applyFont="1" applyFill="1" applyBorder="1" applyAlignment="1">
      <x:alignment horizontal="center" vertical="center"/>
    </x:xf>
    <x:xf numFmtId="187" fontId="13" fillId="0" borderId="1" xfId="0" applyNumberFormat="1" applyFont="1" applyBorder="1" applyAlignment="1">
      <x:alignment horizontal="center" vertical="center"/>
    </x:xf>
    <x:xf numFmtId="0" fontId="6" fillId="12" borderId="1" xfId="15" applyFill="1" applyBorder="1" applyAlignment="1">
      <x:alignment horizontal="center" vertical="center" wrapText="1"/>
    </x:xf>
    <x:xf numFmtId="187" fontId="4" fillId="0" borderId="0" xfId="0" applyNumberFormat="1" applyFont="1" applyAlignment="1">
      <x:alignment horizontal="center" vertical="center"/>
    </x:xf>
    <x:xf numFmtId="41" fontId="10" fillId="12" borderId="161" xfId="1" applyFont="1" applyFill="1" applyBorder="1" applyAlignment="1">
      <x:alignment horizontal="center" vertical="center" wrapText="1"/>
    </x:xf>
    <x:xf numFmtId="0" fontId="4" fillId="6" borderId="37" xfId="26" applyFont="1" applyFill="1" applyBorder="1" applyAlignment="1">
      <x:alignment horizontal="center" vertical="center"/>
    </x:xf>
    <x:xf numFmtId="0" fontId="4" fillId="0" borderId="0" xfId="26" applyFont="1" applyAlignment="1">
      <x:alignment horizontal="center" vertical="center"/>
    </x:xf>
    <x:xf numFmtId="181" fontId="129" fillId="6" borderId="1" xfId="0" applyNumberFormat="1" applyFont="1" applyFill="1" applyBorder="1" applyAlignment="1">
      <x:alignment horizontal="right" vertical="center"/>
    </x:xf>
    <x:xf numFmtId="0" fontId="27" fillId="12" borderId="1" xfId="26" applyFont="1" applyFill="1" applyBorder="1" applyAlignment="1">
      <x:alignment horizontal="center" vertical="center" wrapText="1"/>
    </x:xf>
    <x:xf numFmtId="181" fontId="4" fillId="0" borderId="127" xfId="0" applyNumberFormat="1" applyFont="1" applyBorder="1" applyAlignment="1"/>
    <x:xf numFmtId="41" fontId="2" fillId="12" borderId="1" xfId="1" applyFont="1" applyFill="1" applyBorder="1" applyAlignment="1">
      <x:alignment horizontal="center" vertical="center"/>
    </x:xf>
    <x:xf numFmtId="0" fontId="65" fillId="12" borderId="1" xfId="7" applyFont="1" applyFill="1" applyBorder="1" applyAlignment="1">
      <x:alignment horizontal="center" vertical="center" wrapText="1"/>
    </x:xf>
    <x:xf numFmtId="0" fontId="4" fillId="22" borderId="127" xfId="0" applyFont="1" applyFill="1" applyBorder="1" applyAlignment="1"/>
    <x:xf numFmtId="14" fontId="134" fillId="0" borderId="127" xfId="0" applyNumberFormat="1" applyFont="1" applyBorder="1" applyAlignment="1">
      <x:alignment horizontal="center" vertical="center"/>
    </x:xf>
    <x:xf numFmtId="0" fontId="4" fillId="6" borderId="127" xfId="3" applyFont="1" applyFill="1" applyBorder="1" applyAlignment="1">
      <x:alignment horizontal="center" vertical="center"/>
    </x:xf>
    <x:xf numFmtId="0" fontId="4" fillId="12" borderId="2" xfId="9" applyFont="1" applyFill="1" applyBorder="1" applyAlignment="1">
      <x:alignment horizontal="center" vertical="center"/>
    </x:xf>
    <x:xf numFmtId="192" fontId="129" fillId="12" borderId="121" xfId="0" applyNumberFormat="1" applyFont="1" applyFill="1" applyBorder="1" applyAlignment="1">
      <x:alignment horizontal="center" vertical="center" wrapText="1" readingOrder="1"/>
    </x:xf>
    <x:xf numFmtId="181" fontId="2" fillId="12" borderId="1" xfId="26" applyNumberFormat="1" applyFont="1" applyFill="1" applyBorder="1" applyAlignment="1">
      <x:alignment horizontal="center" vertical="center"/>
    </x:xf>
    <x:xf numFmtId="0" fontId="10" fillId="48" borderId="161" xfId="7" applyFont="1" applyFill="1" applyBorder="1" applyAlignment="1">
      <x:alignment horizontal="center" vertical="center" wrapText="1"/>
    </x:xf>
    <x:xf numFmtId="0" fontId="129" fillId="12" borderId="175" xfId="0" applyFont="1" applyFill="1" applyBorder="1" applyAlignment="1">
      <x:alignment horizontal="center" vertical="center" wrapText="1" readingOrder="1"/>
    </x:xf>
    <x:xf numFmtId="177" fontId="65" fillId="12" borderId="160" xfId="0" applyNumberFormat="1" applyFont="1" applyFill="1" applyBorder="1" applyAlignment="1">
      <x:alignment horizontal="right"/>
    </x:xf>
    <x:xf numFmtId="0" fontId="82" fillId="12" borderId="127" xfId="7" applyFont="1" applyFill="1" applyBorder="1" applyAlignment="1">
      <x:alignment horizontal="center" vertical="center"/>
    </x:xf>
    <x:xf numFmtId="201" fontId="4" fillId="6" borderId="6" xfId="8" applyNumberFormat="1" applyFont="1" applyFill="1" applyBorder="1" applyAlignment="1">
      <x:alignment horizontal="center" vertical="center"/>
    </x:xf>
    <x:xf numFmtId="204" fontId="129" fillId="6" borderId="1" xfId="0" applyNumberFormat="1" applyFont="1" applyFill="1" applyBorder="1" applyAlignment="1">
      <x:alignment horizontal="left" vertical="center"/>
    </x:xf>
    <x:xf numFmtId="0" fontId="30" fillId="0" borderId="0" xfId="13" applyFont="1" applyAlignment="1">
      <x:alignment horizontal="center" vertical="center" wrapText="1"/>
    </x:xf>
    <x:xf numFmtId="0" fontId="4" fillId="12" borderId="119" xfId="3" applyFont="1" applyFill="1" applyBorder="1" applyAlignment="1">
      <x:alignment horizontal="left" vertical="center"/>
    </x:xf>
    <x:xf numFmtId="0" fontId="13" fillId="0" borderId="0" xfId="4" applyFont="1" applyAlignment="1">
      <x:alignment horizontal="center" vertical="center"/>
    </x:xf>
    <x:xf numFmtId="0" fontId="2" fillId="5" borderId="127" xfId="0" applyFont="1" applyFill="1" applyBorder="1" applyAlignment="1">
      <x:alignment horizontal="center" vertical="center"/>
    </x:xf>
    <x:xf numFmtId="0" fontId="4" fillId="12" borderId="175" xfId="9" applyFont="1" applyFill="1" applyBorder="1" applyAlignment="1">
      <x:alignment horizontal="center" vertical="center"/>
    </x:xf>
    <x:xf numFmtId="0" fontId="4" fillId="46" borderId="127" xfId="0" applyFont="1" applyFill="1" applyBorder="1" applyAlignment="1">
      <x:alignment horizontal="center" vertical="center"/>
    </x:xf>
    <x:xf numFmtId="177" fontId="65" fillId="12" borderId="1" xfId="0" applyNumberFormat="1" applyFont="1" applyFill="1" applyBorder="1" applyAlignment="1">
      <x:alignment horizontal="right" vertical="center"/>
    </x:xf>
    <x:xf numFmtId="202" fontId="4" fillId="6" borderId="15" xfId="8" applyNumberFormat="1" applyFont="1" applyFill="1" applyBorder="1" applyAlignment="1">
      <x:alignment horizontal="right" vertical="center"/>
    </x:xf>
    <x:xf numFmtId="0" fontId="9" fillId="14" borderId="0" xfId="7" applyFont="1" applyFill="1">
      <x:alignment vertical="center"/>
    </x:xf>
    <x:xf numFmtId="0" fontId="4" fillId="6" borderId="1" xfId="26" applyFont="1" applyFill="1" applyBorder="1" applyAlignment="1">
      <x:alignment vertical="center"/>
    </x:xf>
    <x:xf numFmtId="188" fontId="2" fillId="12" borderId="1" xfId="0" applyNumberFormat="1" applyFont="1" applyFill="1" applyBorder="1" applyAlignment="1">
      <x:alignment horizontal="left" vertical="center"/>
    </x:xf>
    <x:xf numFmtId="0" fontId="4" fillId="46" borderId="162" xfId="0" applyFont="1" applyFill="1" applyBorder="1" applyAlignment="1">
      <x:alignment horizontal="center" vertical="center" wrapText="1"/>
    </x:xf>
    <x:xf numFmtId="0" fontId="135" fillId="12" borderId="1" xfId="13" applyFont="1" applyFill="1" applyBorder="1" applyAlignment="1">
      <x:alignment horizontal="center" vertical="center" wrapText="1"/>
    </x:xf>
    <x:xf numFmtId="181" fontId="4" fillId="6" borderId="1" xfId="26" applyNumberFormat="1" applyFont="1" applyFill="1" applyBorder="1" applyAlignment="1">
      <x:alignment horizontal="center" vertical="center" wrapText="1"/>
    </x:xf>
    <x:xf numFmtId="0" fontId="129" fillId="6" borderId="3" xfId="7" applyFont="1" applyFill="1" applyBorder="1" applyAlignment="1">
      <x:alignment horizontal="center" vertical="center"/>
    </x:xf>
    <x:xf numFmtId="177" fontId="44" fillId="8" borderId="160" xfId="0" applyNumberFormat="1" applyFont="1" applyFill="1" applyBorder="1" applyAlignment="1">
      <x:alignment horizontal="right" vertical="center" shrinkToFit="1"/>
    </x:xf>
    <x:xf numFmtId="0" fontId="4" fillId="12" borderId="1" xfId="4" applyFont="1" applyFill="1" applyBorder="1" applyAlignment="1">
      <x:alignment horizontal="center" vertical="center" wrapText="1"/>
    </x:xf>
    <x:xf numFmtId="0" fontId="2" fillId="5" borderId="29" xfId="0" applyFont="1" applyFill="1" applyBorder="1" applyAlignment="1">
      <x:alignment horizontal="center" vertical="center"/>
    </x:xf>
    <x:xf numFmtId="41" fontId="129" fillId="12" borderId="117" xfId="1" applyFont="1" applyFill="1" applyBorder="1" applyAlignment="1">
      <x:alignment horizontal="center" vertical="center" wrapText="1" readingOrder="1"/>
    </x:xf>
    <x:xf numFmtId="177" fontId="65" fillId="0" borderId="160" xfId="0" applyNumberFormat="1" applyFont="1" applyBorder="1" applyAlignment="1">
      <x:alignment horizontal="center" vertical="center"/>
    </x:xf>
    <x:xf numFmtId="201" fontId="4" fillId="0" borderId="0" xfId="7" applyNumberFormat="1" applyFont="1" applyAlignment="1">
      <x:alignment horizontal="center" vertical="center"/>
    </x:xf>
    <x:xf numFmtId="0" fontId="129" fillId="12" borderId="1" xfId="0" applyFont="1" applyFill="1" applyBorder="1" applyAlignment="1">
      <x:alignment horizontal="center" vertical="center"/>
    </x:xf>
    <x:xf numFmtId="0" fontId="4" fillId="12" borderId="119" xfId="3" applyFont="1" applyFill="1" applyBorder="1" applyAlignment="1">
      <x:alignment vertical="center"/>
    </x:xf>
    <x:xf numFmtId="183" fontId="4" fillId="0" borderId="0" xfId="10" applyNumberFormat="1" applyFont="1" applyBorder="1" applyAlignment="1">
      <x:alignment horizontal="center" vertical="center"/>
    </x:xf>
    <x:xf numFmtId="0" fontId="140" fillId="15" borderId="163" xfId="15" applyFont="1" applyFill="1" applyBorder="1" applyAlignment="1">
      <x:alignment vertical="center"/>
    </x:xf>
    <x:xf numFmtId="41" fontId="129" fillId="0" borderId="172" xfId="1" applyFont="1" applyBorder="1" applyAlignment="1">
      <x:alignment horizontal="center" vertical="center" wrapText="1" readingOrder="1"/>
    </x:xf>
    <x:xf numFmtId="0" fontId="129" fillId="6" borderId="163" xfId="7" applyFont="1" applyFill="1" applyBorder="1" applyAlignment="1">
      <x:alignment horizontal="center" vertical="center"/>
    </x:xf>
    <x:xf numFmtId="41" fontId="10" fillId="6" borderId="1" xfId="1" applyFont="1" applyFill="1" applyBorder="1" applyAlignment="1">
      <x:alignment horizontal="center" vertical="center" wrapText="1"/>
    </x:xf>
    <x:xf numFmtId="3" fontId="129" fillId="12" borderId="175" xfId="0" applyNumberFormat="1" applyFont="1" applyFill="1" applyBorder="1" applyAlignment="1">
      <x:alignment horizontal="center" vertical="center" wrapText="1" readingOrder="1"/>
    </x:xf>
    <x:xf numFmtId="0" fontId="134" fillId="12" borderId="1" xfId="0" applyFont="1" applyFill="1" applyBorder="1" applyAlignment="1">
      <x:alignment horizontal="center" vertical="center"/>
    </x:xf>
    <x:xf numFmtId="0" fontId="84" fillId="12" borderId="61" xfId="0" applyFont="1" applyFill="1" applyBorder="1" applyAlignment="1">
      <x:alignment horizontal="center" vertical="center" wrapText="1" readingOrder="1"/>
    </x:xf>
    <x:xf numFmtId="0" fontId="4" fillId="46" borderId="170" xfId="0" applyFont="1" applyFill="1" applyBorder="1" applyAlignment="1">
      <x:alignment horizontal="center" vertical="center"/>
    </x:xf>
    <x:xf numFmtId="186" fontId="22" fillId="0" borderId="0" xfId="0" applyNumberFormat="1" applyFont="1">
      <x:alignment vertical="center"/>
    </x:xf>
    <x:xf numFmtId="41" fontId="10" fillId="6" borderId="161" xfId="1" applyFont="1" applyFill="1" applyBorder="1" applyAlignment="1">
      <x:alignment horizontal="center" vertical="center" wrapText="1"/>
    </x:xf>
    <x:xf numFmtId="177" fontId="138" fillId="12" borderId="160" xfId="0" applyNumberFormat="1" applyFont="1" applyFill="1" applyBorder="1" applyAlignment="1">
      <x:alignment horizontal="right" vertical="center"/>
    </x:xf>
    <x:xf numFmtId="190" fontId="13" fillId="0" borderId="160" xfId="4" applyNumberFormat="1" applyFont="1" applyBorder="1" applyAlignment="1">
      <x:alignment horizontal="right" vertical="center"/>
    </x:xf>
    <x:xf numFmtId="0" fontId="20" fillId="12" borderId="1" xfId="9" applyFont="1" applyFill="1" applyBorder="1" applyAlignment="1">
      <x:alignment horizontal="center" vertical="center"/>
    </x:xf>
    <x:xf numFmtId="0" fontId="4" fillId="6" borderId="0" xfId="7" applyFont="1" applyFill="1" applyAlignment="1">
      <x:alignment horizontal="center" vertical="center"/>
    </x:xf>
    <x:xf numFmtId="0" fontId="134" fillId="0" borderId="0" xfId="7" applyFont="1">
      <x:alignment vertical="center"/>
    </x:xf>
    <x:xf numFmtId="200" fontId="4" fillId="6" borderId="15" xfId="8" applyNumberFormat="1" applyFont="1" applyFill="1" applyBorder="1" applyAlignment="1">
      <x:alignment horizontal="center" vertical="center"/>
    </x:xf>
    <x:xf numFmtId="0" fontId="65" fillId="12" borderId="160" xfId="0" applyFont="1" applyFill="1" applyBorder="1" applyAlignment="1">
      <x:alignment horizontal="center" vertical="center"/>
    </x:xf>
    <x:xf numFmtId="181" fontId="4" fillId="6" borderId="1" xfId="26" applyNumberFormat="1" applyFont="1" applyFill="1" applyBorder="1" applyAlignment="1">
      <x:alignment horizontal="right" vertical="center"/>
    </x:xf>
    <x:xf numFmtId="0" fontId="2" fillId="6" borderId="10" xfId="7" applyFont="1" applyFill="1" applyBorder="1" applyAlignment="1">
      <x:alignment horizontal="center" vertical="center"/>
    </x:xf>
    <x:xf numFmtId="181" fontId="27" fillId="12" borderId="1" xfId="26" applyNumberFormat="1" applyFont="1" applyFill="1" applyBorder="1" applyAlignment="1">
      <x:alignment horizontal="right" vertical="center"/>
    </x:xf>
    <x:xf numFmtId="0" fontId="2" fillId="12" borderId="1" xfId="0" applyFont="1" applyFill="1" applyBorder="1" applyAlignment="1">
      <x:alignment vertical="center" wrapText="1"/>
    </x:xf>
    <x:xf numFmtId="0" fontId="31" fillId="12" borderId="160" xfId="9" applyFont="1" applyFill="1" applyBorder="1" applyAlignment="1">
      <x:alignment horizontal="center" vertical="center"/>
    </x:xf>
    <x:xf numFmtId="0" fontId="4" fillId="6" borderId="160" xfId="0" applyFont="1" applyFill="1" applyBorder="1" applyAlignment="1">
      <x:alignment horizontal="right" vertical="center"/>
    </x:xf>
    <x:xf numFmtId="181" fontId="4" fillId="12" borderId="1" xfId="26" applyNumberFormat="1" applyFont="1" applyFill="1" applyBorder="1" applyAlignment="1">
      <x:alignment horizontal="center" vertical="center"/>
    </x:xf>
    <x:xf numFmtId="0" fontId="2" fillId="12" borderId="1" xfId="26" applyFont="1" applyFill="1" applyBorder="1" applyAlignment="1">
      <x:alignment horizontal="center" vertical="center"/>
    </x:xf>
    <x:xf numFmtId="3" fontId="4" fillId="22" borderId="127" xfId="0" quotePrefix="1" applyNumberFormat="1" applyFont="1" applyFill="1" applyBorder="1" applyAlignment="1">
      <x:alignment horizontal="center" vertical="center"/>
    </x:xf>
    <x:xf numFmtId="201" fontId="4" fillId="6" borderId="15" xfId="8" applyNumberFormat="1" applyFont="1" applyFill="1" applyBorder="1" applyAlignment="1">
      <x:alignment horizontal="center" vertical="center"/>
    </x:xf>
    <x:xf numFmtId="0" fontId="129" fillId="0" borderId="181" xfId="0" applyFont="1" applyBorder="1" applyAlignment="1">
      <x:alignment horizontal="center" vertical="center" wrapText="1" readingOrder="1"/>
    </x:xf>
    <x:xf numFmtId="10" fontId="4" fillId="0" borderId="32" xfId="0" applyNumberFormat="1" applyFont="1" applyBorder="1" applyAlignment="1">
      <x:alignment horizontal="center" vertical="center"/>
    </x:xf>
    <x:xf numFmtId="3" fontId="129" fillId="0" borderId="177" xfId="0" applyNumberFormat="1" applyFont="1" applyBorder="1" applyAlignment="1">
      <x:alignment horizontal="right" vertical="center" wrapText="1" readingOrder="1"/>
    </x:xf>
    <x:xf numFmtId="3" fontId="129" fillId="12" borderId="175" xfId="0" applyNumberFormat="1" applyFont="1" applyFill="1" applyBorder="1" applyAlignment="1">
      <x:alignment horizontal="right" vertical="center" wrapText="1" readingOrder="1"/>
    </x:xf>
    <x:xf numFmtId="0" fontId="81" fillId="6" borderId="1" xfId="7" applyFont="1" applyFill="1" applyBorder="1" applyAlignment="1">
      <x:alignment horizontal="center" vertical="center"/>
    </x:xf>
    <x:xf numFmtId="0" fontId="129" fillId="6" borderId="1" xfId="7" applyFont="1" applyFill="1" applyBorder="1" applyAlignment="1">
      <x:alignment horizontal="left" vertical="center"/>
    </x:xf>
    <x:xf numFmtId="0" fontId="9" fillId="13" borderId="160" xfId="9" applyFont="1" applyFill="1" applyBorder="1" applyAlignment="1">
      <x:alignment horizontal="left" vertical="center"/>
    </x:xf>
    <x:xf numFmtId="43" fontId="22" fillId="0" borderId="0" xfId="0" applyNumberFormat="1" applyFont="1">
      <x:alignment vertical="center"/>
    </x:xf>
    <x:xf numFmtId="186" fontId="4" fillId="6" borderId="1" xfId="26" applyNumberFormat="1" applyFont="1" applyFill="1" applyBorder="1" applyAlignment="1">
      <x:alignment horizontal="right" vertical="center"/>
    </x:xf>
    <x:xf numFmtId="3" fontId="129" fillId="12" borderId="178" xfId="0" applyNumberFormat="1" applyFont="1" applyFill="1" applyBorder="1" applyAlignment="1">
      <x:alignment horizontal="right" vertical="center" wrapText="1" readingOrder="1"/>
    </x:xf>
    <x:xf numFmtId="0" fontId="4" fillId="22" borderId="127" xfId="0" quotePrefix="1" applyFont="1" applyFill="1" applyBorder="1" applyAlignment="1">
      <x:alignment horizontal="center" vertical="center"/>
    </x:xf>
    <x:xf numFmtId="41" fontId="9" fillId="14" borderId="0" xfId="1" applyFont="1" applyFill="1">
      <x:alignment vertical="center"/>
    </x:xf>
    <x:xf numFmtId="0" fontId="65" fillId="0" borderId="0" xfId="7" applyFont="1">
      <x:alignment vertical="center"/>
    </x:xf>
    <x:xf numFmtId="181" fontId="2" fillId="12" borderId="127" xfId="26" applyNumberFormat="1" applyFont="1" applyFill="1" applyBorder="1" applyAlignment="1">
      <x:alignment horizontal="left" vertical="center"/>
    </x:xf>
    <x:xf numFmtId="0" fontId="4" fillId="0" borderId="160" xfId="0" applyFont="1" applyBorder="1">
      <x:alignment vertical="center"/>
    </x:xf>
    <x:xf numFmtId="177" fontId="45" fillId="17" borderId="160" xfId="0" applyNumberFormat="1" applyFont="1" applyFill="1" applyBorder="1" applyAlignment="1">
      <x:alignment horizontal="center" vertical="center" shrinkToFit="1"/>
    </x:xf>
    <x:xf numFmtId="0" fontId="65" fillId="0" borderId="0" xfId="0" applyFont="1" applyAlignment="1"/>
    <x:xf numFmtId="0" fontId="4" fillId="12" borderId="176" xfId="9" applyFont="1" applyFill="1" applyBorder="1" applyAlignment="1">
      <x:alignment horizontal="center" vertical="center"/>
    </x:xf>
    <x:xf numFmtId="3" fontId="129" fillId="0" borderId="179" xfId="0" applyNumberFormat="1" applyFont="1" applyBorder="1" applyAlignment="1">
      <x:alignment horizontal="right" vertical="center" wrapText="1" readingOrder="1"/>
    </x:xf>
    <x:xf numFmtId="0" fontId="2" fillId="12" borderId="22" xfId="7" applyFont="1" applyFill="1" applyBorder="1" applyAlignment="1">
      <x:alignment vertical="center" shrinkToFit="1"/>
    </x:xf>
    <x:xf numFmtId="0" fontId="26" fillId="12" borderId="1" xfId="26" applyFont="1" applyFill="1" applyBorder="1" applyAlignment="1">
      <x:alignment horizontal="center" vertical="center"/>
    </x:xf>
    <x:xf numFmtId="41" fontId="10" fillId="12" borderId="162" xfId="1" applyFont="1" applyFill="1" applyBorder="1" applyAlignment="1">
      <x:alignment horizontal="center" vertical="center" wrapText="1"/>
    </x:xf>
    <x:xf numFmtId="0" fontId="32" fillId="6" borderId="160" xfId="9" applyFont="1" applyFill="1" applyBorder="1" applyAlignment="1">
      <x:alignment horizontal="center" vertical="center"/>
    </x:xf>
    <x:xf numFmtId="0" fontId="4" fillId="6" borderId="0" xfId="26" applyFont="1" applyFill="1"/>
    <x:xf numFmtId="0" fontId="10" fillId="48" borderId="1" xfId="7" applyFont="1" applyFill="1" applyBorder="1" applyAlignment="1">
      <x:alignment horizontal="center" vertical="center" wrapText="1"/>
    </x:xf>
    <x:xf numFmtId="0" fontId="129" fillId="0" borderId="175" xfId="0" applyFont="1" applyBorder="1" applyAlignment="1">
      <x:alignment horizontal="center" vertical="center" wrapText="1" readingOrder="1"/>
    </x:xf>
    <x:xf numFmtId="181" fontId="95" fillId="6" borderId="1" xfId="26" applyNumberFormat="1" applyFont="1" applyFill="1" applyBorder="1" applyAlignment="1">
      <x:alignment horizontal="right" vertical="center"/>
    </x:xf>
    <x:xf numFmtId="0" fontId="4" fillId="6" borderId="3" xfId="7" applyFont="1" applyFill="1" applyBorder="1">
      <x:alignment vertical="center"/>
    </x:xf>
    <x:xf numFmtId="41" fontId="129" fillId="0" borderId="175" xfId="1" applyFont="1" applyBorder="1" applyAlignment="1">
      <x:alignment horizontal="center" vertical="center" wrapText="1" readingOrder="1"/>
    </x:xf>
    <x:xf numFmtId="0" fontId="4" fillId="6" borderId="1" xfId="7" applyFont="1" applyFill="1" applyBorder="1" applyAlignment="1">
      <x:alignment horizontal="left" vertical="center"/>
    </x:xf>
    <x:xf numFmtId="0" fontId="4" fillId="12" borderId="22" xfId="9" applyFont="1" applyFill="1" applyBorder="1" applyAlignment="1">
      <x:alignment vertical="center" wrapText="1"/>
    </x:xf>
    <x:xf numFmtId="0" fontId="11" fillId="13" borderId="160" xfId="9" applyFont="1" applyFill="1" applyBorder="1" applyAlignment="1">
      <x:alignment horizontal="center" vertical="center"/>
    </x:xf>
    <x:xf numFmtId="0" fontId="65" fillId="12" borderId="1" xfId="7" applyFont="1" applyFill="1" applyBorder="1" applyAlignment="1">
      <x:alignment horizontal="center" vertical="center"/>
    </x:xf>
    <x:xf numFmtId="0" fontId="11" fillId="6" borderId="160" xfId="9" applyFont="1" applyFill="1" applyBorder="1" applyAlignment="1">
      <x:alignment horizontal="center" vertical="center"/>
    </x:xf>
    <x:xf numFmtId="0" fontId="65" fillId="0" borderId="160" xfId="7" applyFont="1" applyBorder="1" applyAlignment="1">
      <x:alignment horizontal="center" vertical="center"/>
    </x:xf>
    <x:xf numFmtId="0" fontId="129" fillId="6" borderId="4" xfId="7" applyFont="1" applyFill="1" applyBorder="1" applyAlignment="1">
      <x:alignment horizontal="center" vertical="center"/>
    </x:xf>
    <x:xf numFmtId="3" fontId="129" fillId="0" borderId="175" xfId="0" applyNumberFormat="1" applyFont="1" applyBorder="1" applyAlignment="1">
      <x:alignment horizontal="right" vertical="center" wrapText="1" readingOrder="1"/>
    </x:xf>
    <x:xf numFmtId="0" fontId="140" fillId="15" borderId="158" xfId="15" applyFont="1" applyFill="1" applyBorder="1" applyAlignment="1">
      <x:alignment vertical="center"/>
    </x:xf>
    <x:xf numFmtId="0" fontId="4" fillId="6" borderId="37" xfId="26" applyFont="1" applyFill="1" applyBorder="1" applyAlignment="1">
      <x:alignment horizontal="left" vertical="center"/>
    </x:xf>
    <x:xf numFmtId="14" fontId="136" fillId="0" borderId="0" xfId="13" applyNumberFormat="1" applyFont="1" applyAlignment="1">
      <x:alignment horizontal="center" vertical="center" wrapText="1"/>
    </x:xf>
    <x:xf numFmtId="177" fontId="134" fillId="0" borderId="0" xfId="3" applyNumberFormat="1" applyFont="1" applyAlignment="1">
      <x:alignment horizontal="center" vertical="center"/>
    </x:xf>
    <x:xf numFmtId="0" fontId="4" fillId="12" borderId="65" xfId="9" applyFont="1" applyFill="1" applyBorder="1" applyAlignment="1">
      <x:alignment horizontal="center" vertical="center" wrapText="1"/>
    </x:xf>
    <x:xf numFmtId="41" fontId="10" fillId="6" borderId="169" xfId="1" applyFont="1" applyFill="1" applyBorder="1" applyAlignment="1">
      <x:alignment horizontal="center" vertical="center" wrapText="1"/>
    </x:xf>
    <x:xf numFmtId="41" fontId="10" fillId="12" borderId="1" xfId="1" applyFont="1" applyFill="1" applyBorder="1" applyAlignment="1">
      <x:alignment horizontal="center" vertical="center" wrapText="1"/>
    </x:xf>
    <x:xf numFmtId="183" fontId="4" fillId="12" borderId="1" xfId="10" applyNumberFormat="1" applyFont="1" applyFill="1" applyBorder="1" applyAlignment="1">
      <x:alignment horizontal="center" vertical="center"/>
    </x:xf>
    <x:xf numFmtId="41" fontId="95" fillId="0" borderId="0" xfId="1" applyFont="1" applyAlignment="1"/>
    <x:xf numFmtId="0" fontId="4" fillId="0" borderId="127" xfId="3" applyFont="1" applyBorder="1" applyAlignment="1">
      <x:alignment horizontal="center" vertical="center"/>
    </x:xf>
    <x:xf numFmtId="0" fontId="4" fillId="6" borderId="48" xfId="15" applyFont="1" applyFill="1" applyBorder="1" applyAlignment="1">
      <x:alignment horizontal="center" vertical="center" wrapText="1"/>
    </x:xf>
    <x:xf numFmtId="200" fontId="2" fillId="6" borderId="10" xfId="8" applyNumberFormat="1" applyFont="1" applyFill="1" applyBorder="1" applyAlignment="1">
      <x:alignment horizontal="center" vertical="center"/>
    </x:xf>
    <x:xf numFmtId="0" fontId="81" fillId="0" borderId="0" xfId="13" applyFont="1"/>
    <x:xf numFmtId="0" fontId="4" fillId="12" borderId="37" xfId="4" applyFont="1" applyFill="1" applyBorder="1" applyAlignment="1">
      <x:alignment horizontal="center" vertical="center" wrapText="1"/>
    </x:xf>
    <x:xf numFmtId="181" fontId="4" fillId="0" borderId="127" xfId="0" applyNumberFormat="1" applyFont="1" applyBorder="1" applyAlignment="1">
      <x:alignment horizontal="center" vertical="center"/>
    </x:xf>
    <x:xf numFmtId="10" fontId="4" fillId="12" borderId="175" xfId="2" applyNumberFormat="1" applyFont="1" applyFill="1" applyBorder="1" applyAlignment="1">
      <x:alignment horizontal="center" vertical="center"/>
    </x:xf>
    <x:xf numFmtId="177" fontId="44" fillId="47" borderId="160" xfId="0" applyNumberFormat="1" applyFont="1" applyFill="1" applyBorder="1" applyAlignment="1">
      <x:alignment horizontal="center" vertical="center" shrinkToFit="1"/>
    </x:xf>
    <x:xf numFmtId="184" fontId="4" fillId="0" borderId="0" xfId="9" applyNumberFormat="1" applyFont="1" applyAlignment="1">
      <x:alignment horizontal="center" vertical="center"/>
    </x:xf>
    <x:xf numFmtId="189" fontId="13" fillId="12" borderId="127" xfId="4" applyNumberFormat="1" applyFont="1" applyFill="1" applyBorder="1" applyAlignment="1">
      <x:alignment horizontal="center" vertical="center"/>
    </x:xf>
    <x:xf numFmtId="181" fontId="138" fillId="12" borderId="160" xfId="0" applyNumberFormat="1" applyFont="1" applyFill="1" applyBorder="1" applyAlignment="1">
      <x:alignment horizontal="center" vertical="center"/>
    </x:xf>
    <x:xf numFmtId="177" fontId="44" fillId="12" borderId="160" xfId="0" applyNumberFormat="1" applyFont="1" applyFill="1" applyBorder="1" applyAlignment="1">
      <x:alignment horizontal="center" vertical="center" shrinkToFit="1"/>
    </x:xf>
    <x:xf numFmtId="181" fontId="134" fillId="12" borderId="1" xfId="26" applyNumberFormat="1" applyFont="1" applyFill="1" applyBorder="1" applyAlignment="1">
      <x:alignment horizontal="right" vertical="center"/>
    </x:xf>
    <x:xf numFmtId="186" fontId="13" fillId="12" borderId="1" xfId="0" applyNumberFormat="1" applyFont="1" applyFill="1" applyBorder="1" applyAlignment="1">
      <x:alignment horizontal="center" vertical="center"/>
    </x:xf>
    <x:xf numFmtId="181" fontId="13" fillId="12" borderId="127" xfId="0" applyNumberFormat="1" applyFont="1" applyFill="1" applyBorder="1" applyAlignment="1">
      <x:alignment horizontal="right" vertical="center"/>
    </x:xf>
    <x:xf numFmtId="186" fontId="13" fillId="12" borderId="1" xfId="5" applyNumberFormat="1" applyFont="1" applyFill="1" applyBorder="1" applyAlignment="1">
      <x:alignment horizontal="center" vertical="center"/>
    </x:xf>
    <x:xf numFmtId="186" fontId="13" fillId="12" borderId="127" xfId="0" applyNumberFormat="1" applyFont="1" applyFill="1" applyBorder="1" applyAlignment="1">
      <x:alignment horizontal="center" vertical="center"/>
    </x:xf>
    <x:xf numFmtId="186" fontId="141" fillId="12" borderId="1" xfId="0" applyNumberFormat="1" applyFont="1" applyFill="1" applyBorder="1" applyAlignment="1">
      <x:alignment horizontal="center" vertical="center"/>
    </x:xf>
    <x:xf numFmtId="186" fontId="130" fillId="12" borderId="1" xfId="3" applyNumberFormat="1" applyFont="1" applyFill="1" applyBorder="1" applyAlignment="1">
      <x:alignment horizontal="center" vertical="center"/>
    </x:xf>
    <x:xf numFmtId="186" fontId="141" fillId="12" borderId="1" xfId="3" applyNumberFormat="1" applyFont="1" applyFill="1" applyBorder="1" applyAlignment="1">
      <x:alignment horizontal="center" vertical="center"/>
    </x:xf>
    <x:xf numFmtId="186" fontId="141" fillId="12" borderId="127" xfId="3" applyNumberFormat="1" applyFont="1" applyFill="1" applyBorder="1" applyAlignment="1">
      <x:alignment horizontal="center" vertical="center"/>
    </x:xf>
    <x:xf numFmtId="186" fontId="13" fillId="12" borderId="127" xfId="5" applyNumberFormat="1" applyFont="1" applyFill="1" applyBorder="1" applyAlignment="1">
      <x:alignment horizontal="center" vertical="center"/>
    </x:xf>
    <x:xf numFmtId="186" fontId="132" fillId="12" borderId="1" xfId="0" applyNumberFormat="1" applyFont="1" applyFill="1" applyBorder="1" applyAlignment="1">
      <x:alignment horizontal="center" vertical="center" shrinkToFit="1"/>
    </x:xf>
    <x:xf numFmtId="186" fontId="141" fillId="12" borderId="1" xfId="3" applyNumberFormat="1" applyFont="1" applyFill="1" applyBorder="1" applyAlignment="1">
      <x:alignment horizontal="center" vertical="center" shrinkToFit="1"/>
    </x:xf>
    <x:xf numFmtId="186" fontId="141" fillId="12" borderId="1" xfId="0" applyNumberFormat="1" applyFont="1" applyFill="1" applyBorder="1" applyAlignment="1">
      <x:alignment horizontal="center" vertical="center" shrinkToFit="1"/>
    </x:xf>
    <x:xf numFmtId="186" fontId="141" fillId="12" borderId="127" xfId="0" applyNumberFormat="1" applyFont="1" applyFill="1" applyBorder="1" applyAlignment="1">
      <x:alignment horizontal="center" vertical="center" shrinkToFit="1"/>
    </x:xf>
    <x:xf numFmtId="186" fontId="13" fillId="12" borderId="1" xfId="3" applyNumberFormat="1" applyFont="1" applyFill="1" applyBorder="1" applyAlignment="1">
      <x:alignment horizontal="center" vertical="center"/>
    </x:xf>
    <x:xf numFmtId="181" fontId="134" fillId="12" borderId="127" xfId="26" applyNumberFormat="1" applyFont="1" applyFill="1" applyBorder="1" applyAlignment="1">
      <x:alignment horizontal="right" vertical="center"/>
    </x:xf>
    <x:xf numFmtId="186" fontId="141" fillId="12" borderId="127" xfId="3" applyNumberFormat="1" applyFont="1" applyFill="1" applyBorder="1" applyAlignment="1">
      <x:alignment horizontal="center" vertical="center" shrinkToFit="1"/>
    </x:xf>
    <x:xf numFmtId="186" fontId="141" fillId="12" borderId="1" xfId="5" applyNumberFormat="1" applyFont="1" applyFill="1" applyBorder="1" applyAlignment="1">
      <x:alignment horizontal="center" vertical="center"/>
    </x:xf>
    <x:xf numFmtId="186" fontId="141" fillId="12" borderId="127" xfId="5" applyNumberFormat="1" applyFont="1" applyFill="1" applyBorder="1" applyAlignment="1">
      <x:alignment horizontal="center" vertical="center"/>
    </x:xf>
    <x:xf numFmtId="186" fontId="13" fillId="12" borderId="127" xfId="3" applyNumberFormat="1" applyFont="1" applyFill="1" applyBorder="1" applyAlignment="1">
      <x:alignment horizontal="center" vertical="center"/>
    </x:xf>
    <x:xf numFmtId="189" fontId="4" fillId="6" borderId="1" xfId="4" applyNumberFormat="1" applyFont="1" applyFill="1" applyBorder="1" applyAlignment="1">
      <x:alignment horizontal="center" vertical="center"/>
    </x:xf>
    <x:xf numFmtId="0" fontId="142" fillId="6" borderId="127" xfId="7" applyFont="1" applyFill="1" applyBorder="1" applyAlignment="1">
      <x:alignment horizontal="center" vertical="center"/>
    </x:xf>
    <x:xf numFmtId="41" fontId="47" fillId="0" borderId="0" xfId="1" applyFont="1" applyAlignment="1">
      <x:alignment vertical="center"/>
    </x:xf>
    <x:xf numFmtId="41" fontId="47" fillId="0" borderId="186" xfId="1" applyFont="1" applyBorder="1" applyAlignment="1">
      <x:alignment horizontal="center" vertical="center"/>
    </x:xf>
    <x:xf numFmtId="41" fontId="47" fillId="0" borderId="186" xfId="18" applyNumberFormat="1" applyFont="1" applyBorder="1" applyAlignment="1">
      <x:alignment horizontal="center" vertical="center"/>
    </x:xf>
    <x:xf numFmtId="41" fontId="47" fillId="49" borderId="186" xfId="18" applyNumberFormat="1" applyFont="1" applyFill="1" applyBorder="1" applyAlignment="1">
      <x:alignment horizontal="center" vertical="center"/>
    </x:xf>
    <x:xf numFmtId="0" fontId="47" fillId="50" borderId="186" xfId="18" applyFont="1" applyFill="1" applyBorder="1" applyAlignment="1">
      <x:alignment horizontal="center" vertical="center"/>
    </x:xf>
    <x:xf numFmtId="213" fontId="47" fillId="0" borderId="0" xfId="18" applyNumberFormat="1" applyFont="1" applyAlignment="1">
      <x:alignment vertical="center"/>
    </x:xf>
    <x:xf numFmtId="0" fontId="53" fillId="49" borderId="122" xfId="18" applyFont="1" applyFill="1" applyBorder="1" applyAlignment="1">
      <x:alignment horizontal="center" vertical="center"/>
    </x:xf>
    <x:xf numFmtId="0" fontId="47" fillId="0" borderId="87" xfId="18" applyFont="1" applyBorder="1" applyAlignment="1">
      <x:alignment horizontal="center" vertical="center"/>
    </x:xf>
    <x:xf numFmtId="0" fontId="53" fillId="0" borderId="38" xfId="18" applyFont="1" applyBorder="1" applyAlignment="1">
      <x:alignment horizontal="center" vertical="center"/>
    </x:xf>
    <x:xf numFmtId="0" fontId="53" fillId="0" borderId="55" xfId="18" applyFont="1" applyBorder="1" applyAlignment="1">
      <x:alignment horizontal="center" vertical="center"/>
    </x:xf>
    <x:xf numFmtId="213" fontId="47" fillId="49" borderId="0" xfId="18" applyNumberFormat="1" applyFont="1" applyFill="1" applyAlignment="1">
      <x:alignment vertical="center"/>
    </x:xf>
    <x:xf numFmtId="196" fontId="52" fillId="49" borderId="0" xfId="18" applyNumberFormat="1" applyFont="1" applyFill="1" applyAlignment="1">
      <x:alignment vertical="center"/>
    </x:xf>
    <x:xf numFmtId="213" fontId="47" fillId="49" borderId="0" xfId="1" applyNumberFormat="1" applyFont="1" applyFill="1" applyAlignment="1">
      <x:alignment vertical="center"/>
    </x:xf>
    <x:xf numFmtId="213" fontId="47" fillId="49" borderId="0" xfId="1" applyNumberFormat="1" applyFont="1" applyFill="1" applyAlignment="1">
      <x:alignment horizontal="right" vertical="center"/>
    </x:xf>
    <x:xf numFmtId="0" fontId="47" fillId="0" borderId="95" xfId="18" applyFont="1" applyBorder="1" applyAlignment="1">
      <x:alignment vertical="center"/>
    </x:xf>
    <x:xf numFmtId="0" fontId="47" fillId="0" borderId="127" xfId="18" applyFont="1" applyBorder="1" applyAlignment="1">
      <x:alignment vertical="center"/>
    </x:xf>
    <x:xf numFmtId="0" fontId="47" fillId="0" borderId="127" xfId="18" applyFont="1" applyBorder="1" applyAlignment="1">
      <x:alignment horizontal="center" vertical="center"/>
    </x:xf>
    <x:xf numFmtId="0" fontId="47" fillId="0" borderId="125" xfId="18" applyFont="1" applyBorder="1" applyAlignment="1">
      <x:alignment horizontal="center" vertical="center"/>
    </x:xf>
    <x:xf numFmtId="0" fontId="47" fillId="0" borderId="122" xfId="18" applyFont="1" applyBorder="1" applyAlignment="1">
      <x:alignment horizontal="center" vertical="center"/>
    </x:xf>
    <x:xf numFmtId="0" fontId="47" fillId="0" borderId="95" xfId="18" applyFont="1" applyBorder="1" applyAlignment="1">
      <x:alignment horizontal="center" vertical="center"/>
    </x:xf>
    <x:xf numFmtId="0" fontId="50" fillId="0" borderId="127" xfId="18" applyFont="1" applyBorder="1" applyAlignment="1">
      <x:alignment horizontal="center" vertical="center"/>
    </x:xf>
    <x:xf numFmtId="0" fontId="50" fillId="0" borderId="125" xfId="18" applyFont="1" applyBorder="1" applyAlignment="1">
      <x:alignment horizontal="center" vertical="center"/>
    </x:xf>
    <x:xf numFmtId="0" fontId="47" fillId="0" borderId="122" xfId="18" applyFont="1" applyBorder="1" applyAlignment="1">
      <x:alignment vertical="center"/>
    </x:xf>
    <x:xf numFmtId="0" fontId="47" fillId="0" borderId="123" xfId="18" applyFont="1" applyBorder="1" applyAlignment="1">
      <x:alignment horizontal="center" vertical="center"/>
    </x:xf>
    <x:xf numFmtId="213" fontId="47" fillId="0" borderId="186" xfId="18" applyNumberFormat="1" applyFont="1" applyBorder="1" applyAlignment="1">
      <x:alignment vertical="center"/>
    </x:xf>
    <x:xf numFmtId="0" fontId="47" fillId="0" borderId="186" xfId="18" applyFont="1" applyBorder="1" applyAlignment="1">
      <x:alignment vertical="center"/>
    </x:xf>
    <x:xf numFmtId="201" fontId="4" fillId="0" borderId="0" xfId="7" applyNumberFormat="1" applyFont="1">
      <x:alignment vertical="center"/>
    </x:xf>
    <x:xf numFmtId="0" fontId="4" fillId="0" borderId="186" xfId="7" applyFont="1" applyBorder="1" applyAlignment="1">
      <x:alignment horizontal="center" vertical="center"/>
    </x:xf>
    <x:xf numFmtId="0" fontId="4" fillId="6" borderId="186" xfId="7" applyFont="1" applyFill="1" applyBorder="1" applyAlignment="1">
      <x:alignment horizontal="center" vertical="center"/>
    </x:xf>
    <x:xf numFmtId="3" fontId="4" fillId="0" borderId="186" xfId="7" applyNumberFormat="1" applyFont="1" applyBorder="1" applyAlignment="1">
      <x:alignment horizontal="center" vertical="center"/>
    </x:xf>
    <x:xf numFmtId="0" fontId="2" fillId="6" borderId="186" xfId="7" applyFont="1" applyFill="1" applyBorder="1" applyAlignment="1">
      <x:alignment horizontal="center" vertical="center"/>
    </x:xf>
    <x:xf numFmtId="14" fontId="8" fillId="0" borderId="0" xfId="3" applyNumberFormat="1" applyFont="1" applyAlignment="1">
      <x:alignment horizontal="left" vertical="center"/>
    </x:xf>
    <x:xf numFmtId="14" fontId="4" fillId="0" borderId="0" xfId="3" applyNumberFormat="1" applyFont="1" applyAlignment="1">
      <x:alignment horizontal="center" vertical="center"/>
    </x:xf>
    <x:xf numFmtId="0" fontId="143" fillId="51" borderId="186" xfId="0" applyFont="1" applyFill="1" applyBorder="1" applyAlignment="1">
      <x:alignment horizontal="center" vertical="center"/>
    </x:xf>
    <x:xf numFmtId="24" fontId="144" fillId="0" borderId="186" xfId="0" applyNumberFormat="1" applyFont="1" applyBorder="1" applyAlignment="1">
      <x:alignment horizontal="right" vertical="center"/>
    </x:xf>
    <x:xf numFmtId="24" fontId="143" fillId="51" borderId="186" xfId="0" applyNumberFormat="1" applyFont="1" applyFill="1" applyBorder="1" applyAlignment="1">
      <x:alignment horizontal="right" vertical="center"/>
    </x:xf>
    <x:xf numFmtId="24" fontId="41" fillId="0" borderId="186" xfId="0" applyNumberFormat="1" applyFont="1" applyBorder="1">
      <x:alignment vertical="center"/>
    </x:xf>
    <x:xf numFmtId="24" fontId="145" fillId="0" borderId="186" xfId="0" applyNumberFormat="1" applyFont="1" applyBorder="1" applyAlignment="1">
      <x:alignment horizontal="right" vertical="center"/>
    </x:xf>
    <x:xf numFmtId="24" fontId="146" fillId="51" borderId="186" xfId="0" applyNumberFormat="1" applyFont="1" applyFill="1" applyBorder="1" applyAlignment="1">
      <x:alignment horizontal="right" vertical="center"/>
    </x:xf>
    <x:xf numFmtId="178" fontId="0" fillId="0" borderId="0" xfId="5" applyFont="1" applyAlignment="1"/>
    <x:xf numFmtId="0" fontId="6" fillId="0" borderId="0" xfId="3"/>
    <x:xf numFmtId="0" fontId="6" fillId="0" borderId="0" xfId="3" applyAlignment="1">
      <x:alignment horizontal="center" vertical="center"/>
    </x:xf>
    <x:xf numFmtId="0" fontId="8" fillId="9" borderId="186" xfId="15" applyFont="1" applyFill="1" applyBorder="1" applyAlignment="1">
      <x:alignment horizontal="center" vertical="center" wrapText="1"/>
    </x:xf>
    <x:xf numFmtId="0" fontId="96" fillId="16" borderId="186" xfId="3" applyFont="1" applyFill="1" applyBorder="1" applyAlignment="1">
      <x:alignment horizontal="center" vertical="center" wrapText="1"/>
    </x:xf>
    <x:xf numFmtId="0" fontId="96" fillId="52" borderId="186" xfId="3" applyFont="1" applyFill="1" applyBorder="1" applyAlignment="1">
      <x:alignment horizontal="center" vertical="center" wrapText="1"/>
    </x:xf>
    <x:xf numFmtId="0" fontId="96" fillId="52" borderId="186" xfId="3" applyFont="1" applyFill="1" applyBorder="1" applyAlignment="1">
      <x:alignment vertical="center" wrapText="1"/>
    </x:xf>
    <x:xf numFmtId="0" fontId="147" fillId="16" borderId="187" xfId="3" applyFont="1" applyFill="1" applyBorder="1" applyAlignment="1">
      <x:alignment horizontal="left" vertical="top" wrapText="1"/>
    </x:xf>
    <x:xf numFmtId="212" fontId="147" fillId="16" borderId="187" xfId="3" applyNumberFormat="1" applyFont="1" applyFill="1" applyBorder="1" applyAlignment="1">
      <x:alignment horizontal="center" vertical="center" shrinkToFit="1"/>
    </x:xf>
    <x:xf numFmtId="205" fontId="147" fillId="16" borderId="187" xfId="3" applyNumberFormat="1" applyFont="1" applyFill="1" applyBorder="1" applyAlignment="1">
      <x:alignment horizontal="center" vertical="top"/>
    </x:xf>
    <x:xf numFmtId="0" fontId="147" fillId="16" borderId="187" xfId="3" applyFont="1" applyFill="1" applyBorder="1" applyAlignment="1">
      <x:alignment horizontal="center" vertical="top"/>
    </x:xf>
    <x:xf numFmtId="0" fontId="147" fillId="16" borderId="190" xfId="3" applyFont="1" applyFill="1" applyBorder="1" applyAlignment="1">
      <x:alignment horizontal="left" vertical="top" wrapText="1"/>
    </x:xf>
    <x:xf numFmtId="212" fontId="147" fillId="16" borderId="190" xfId="3" applyNumberFormat="1" applyFont="1" applyFill="1" applyBorder="1" applyAlignment="1">
      <x:alignment horizontal="center" vertical="center" shrinkToFit="1"/>
    </x:xf>
    <x:xf numFmtId="205" fontId="147" fillId="16" borderId="190" xfId="3" applyNumberFormat="1" applyFont="1" applyFill="1" applyBorder="1" applyAlignment="1">
      <x:alignment horizontal="center" vertical="top"/>
    </x:xf>
    <x:xf numFmtId="0" fontId="147" fillId="16" borderId="190" xfId="3" applyFont="1" applyFill="1" applyBorder="1" applyAlignment="1">
      <x:alignment horizontal="center" vertical="top"/>
    </x:xf>
    <x:xf numFmtId="0" fontId="147" fillId="16" borderId="191" xfId="3" applyFont="1" applyFill="1" applyBorder="1" applyAlignment="1">
      <x:alignment horizontal="left" vertical="top" wrapText="1"/>
    </x:xf>
    <x:xf numFmtId="212" fontId="147" fillId="16" borderId="191" xfId="3" applyNumberFormat="1" applyFont="1" applyFill="1" applyBorder="1" applyAlignment="1">
      <x:alignment horizontal="center" vertical="center" shrinkToFit="1"/>
    </x:xf>
    <x:xf numFmtId="205" fontId="147" fillId="16" borderId="191" xfId="3" applyNumberFormat="1" applyFont="1" applyFill="1" applyBorder="1" applyAlignment="1">
      <x:alignment horizontal="center" vertical="top"/>
    </x:xf>
    <x:xf numFmtId="0" fontId="147" fillId="16" borderId="191" xfId="3" applyFont="1" applyFill="1" applyBorder="1" applyAlignment="1">
      <x:alignment horizontal="center" vertical="top"/>
    </x:xf>
    <x:xf numFmtId="0" fontId="9" fillId="0" borderId="0" xfId="3" applyFont="1"/>
    <x:xf numFmtId="187" fontId="9" fillId="0" borderId="186" xfId="3" applyNumberFormat="1" applyFont="1" applyBorder="1" applyAlignment="1">
      <x:alignment horizontal="center" vertical="center"/>
    </x:xf>
    <x:xf numFmtId="187" fontId="9" fillId="2" borderId="186" xfId="3" applyNumberFormat="1" applyFont="1" applyFill="1" applyBorder="1" applyAlignment="1">
      <x:alignment horizontal="center" vertical="center"/>
    </x:xf>
    <x:xf numFmtId="0" fontId="96" fillId="16" borderId="161" xfId="3" applyFont="1" applyFill="1" applyBorder="1" applyAlignment="1">
      <x:alignment horizontal="center" vertical="center" wrapText="1"/>
    </x:xf>
    <x:xf numFmtId="0" fontId="96" fillId="16" borderId="193" xfId="3" applyFont="1" applyFill="1" applyBorder="1" applyAlignment="1">
      <x:alignment horizontal="center" vertical="center" wrapText="1"/>
    </x:xf>
    <x:xf numFmtId="3" fontId="147" fillId="16" borderId="189" xfId="3" applyNumberFormat="1" applyFont="1" applyFill="1" applyBorder="1" applyAlignment="1">
      <x:alignment horizontal="right" vertical="top" shrinkToFit="1"/>
    </x:xf>
    <x:xf numFmtId="3" fontId="147" fillId="16" borderId="187" xfId="3" applyNumberFormat="1" applyFont="1" applyFill="1" applyBorder="1" applyAlignment="1">
      <x:alignment horizontal="right" vertical="top" shrinkToFit="1"/>
    </x:xf>
    <x:xf numFmtId="3" fontId="147" fillId="16" borderId="190" xfId="3" applyNumberFormat="1" applyFont="1" applyFill="1" applyBorder="1" applyAlignment="1">
      <x:alignment horizontal="right" vertical="top" shrinkToFit="1"/>
    </x:xf>
    <x:xf numFmtId="3" fontId="147" fillId="16" borderId="188" xfId="3" applyNumberFormat="1" applyFont="1" applyFill="1" applyBorder="1" applyAlignment="1">
      <x:alignment horizontal="right" vertical="top" shrinkToFit="1"/>
    </x:xf>
    <x:xf numFmtId="3" fontId="147" fillId="16" borderId="191" xfId="3" applyNumberFormat="1" applyFont="1" applyFill="1" applyBorder="1" applyAlignment="1">
      <x:alignment horizontal="right" vertical="top" shrinkToFit="1"/>
    </x:xf>
    <x:xf numFmtId="3" fontId="147" fillId="16" borderId="192" xfId="3" applyNumberFormat="1" applyFont="1" applyFill="1" applyBorder="1" applyAlignment="1">
      <x:alignment horizontal="right" vertical="top" shrinkToFit="1"/>
    </x:xf>
    <x:xf numFmtId="180" fontId="70" fillId="6" borderId="0" xfId="4" applyNumberFormat="1" applyFont="1" applyFill="1" applyAlignment="1">
      <x:alignment horizontal="right" vertical="center"/>
    </x:xf>
    <x:xf numFmtId="0" fontId="10" fillId="9" borderId="1" xfId="7" applyFont="1" applyFill="1" applyBorder="1" applyAlignment="1">
      <x:alignment horizontal="center" vertical="center"/>
    </x:xf>
    <x:xf numFmtId="0" fontId="142" fillId="9" borderId="127" xfId="7" applyFont="1" applyFill="1" applyBorder="1" applyAlignment="1">
      <x:alignment horizontal="center" vertical="center"/>
    </x:xf>
    <x:xf numFmtId="0" fontId="46" fillId="9" borderId="1" xfId="0" applyFont="1" applyFill="1" applyBorder="1" applyAlignment="1">
      <x:alignment horizontal="center" vertical="center"/>
    </x:xf>
    <x:xf numFmtId="14" fontId="46" fillId="9" borderId="1" xfId="0" applyNumberFormat="1" applyFont="1" applyFill="1" applyBorder="1" applyAlignment="1">
      <x:alignment horizontal="center" vertical="center"/>
    </x:xf>
    <x:xf numFmtId="203" fontId="46" fillId="9" borderId="1" xfId="0" applyNumberFormat="1" applyFont="1" applyFill="1" applyBorder="1" applyAlignment="1">
      <x:alignment horizontal="center" vertical="center"/>
    </x:xf>
    <x:xf numFmtId="41" fontId="46" fillId="9" borderId="1" xfId="1" applyFont="1" applyFill="1" applyBorder="1" applyAlignment="1">
      <x:alignment horizontal="center" vertical="center" shrinkToFit="1"/>
    </x:xf>
    <x:xf numFmtId="41" fontId="10" fillId="9" borderId="1" xfId="1" applyFont="1" applyFill="1" applyBorder="1" applyAlignment="1">
      <x:alignment horizontal="center" vertical="center" wrapText="1"/>
    </x:xf>
    <x:xf numFmtId="41" fontId="10" fillId="9" borderId="161" xfId="1" applyFont="1" applyFill="1" applyBorder="1" applyAlignment="1">
      <x:alignment horizontal="center" vertical="center" wrapText="1"/>
    </x:xf>
    <x:xf numFmtId="41" fontId="10" fillId="9" borderId="168" xfId="1" applyFont="1" applyFill="1" applyBorder="1" applyAlignment="1">
      <x:alignment horizontal="center" vertical="center" wrapText="1"/>
    </x:xf>
    <x:xf numFmtId="41" fontId="10" fillId="9" borderId="160" xfId="1" applyFont="1" applyFill="1" applyBorder="1" applyAlignment="1">
      <x:alignment horizontal="center" vertical="center" wrapText="1"/>
    </x:xf>
    <x:xf numFmtId="41" fontId="10" fillId="9" borderId="169" xfId="1" applyFont="1" applyFill="1" applyBorder="1" applyAlignment="1">
      <x:alignment horizontal="center" vertical="center" wrapText="1"/>
    </x:xf>
    <x:xf numFmtId="41" fontId="10" fillId="9" borderId="162" xfId="1" applyFont="1" applyFill="1" applyBorder="1" applyAlignment="1">
      <x:alignment horizontal="center" vertical="center" wrapText="1"/>
    </x:xf>
    <x:xf numFmtId="0" fontId="0" fillId="9" borderId="0" xfId="0" applyFill="1" applyAlignment="1">
      <x:alignment horizontal="center" vertical="center"/>
    </x:xf>
    <x:xf numFmtId="0" fontId="10" fillId="9" borderId="186" xfId="7" applyFont="1" applyFill="1" applyBorder="1" applyAlignment="1">
      <x:alignment horizontal="center" vertical="center"/>
    </x:xf>
    <x:xf numFmtId="203" fontId="46" fillId="9" borderId="186" xfId="0" applyNumberFormat="1" applyFont="1" applyFill="1" applyBorder="1" applyAlignment="1">
      <x:alignment horizontal="center" vertical="center"/>
    </x:xf>
    <x:xf numFmtId="0" fontId="46" fillId="9" borderId="127" xfId="0" applyFont="1" applyFill="1" applyBorder="1" applyAlignment="1">
      <x:alignment horizontal="center" vertical="center"/>
    </x:xf>
    <x:xf numFmtId="14" fontId="46" fillId="9" borderId="127" xfId="0" applyNumberFormat="1" applyFont="1" applyFill="1" applyBorder="1" applyAlignment="1">
      <x:alignment horizontal="center" vertical="center"/>
    </x:xf>
    <x:xf numFmtId="203" fontId="46" fillId="9" borderId="127" xfId="0" applyNumberFormat="1" applyFont="1" applyFill="1" applyBorder="1" applyAlignment="1">
      <x:alignment horizontal="center" vertical="center"/>
    </x:xf>
    <x:xf numFmtId="0" fontId="10" fillId="9" borderId="127" xfId="7" applyFont="1" applyFill="1" applyBorder="1" applyAlignment="1">
      <x:alignment horizontal="center" vertical="center"/>
    </x:xf>
    <x:xf numFmtId="41" fontId="10" fillId="9" borderId="36" xfId="1" applyFont="1" applyFill="1" applyBorder="1" applyAlignment="1">
      <x:alignment horizontal="center" vertical="center" wrapText="1"/>
    </x:xf>
    <x:xf numFmtId="41" fontId="10" fillId="9" borderId="37" xfId="1" applyFont="1" applyFill="1" applyBorder="1" applyAlignment="1">
      <x:alignment horizontal="center" vertical="center" wrapText="1"/>
    </x:xf>
    <x:xf numFmtId="41" fontId="10" fillId="9" borderId="48" xfId="1" applyFont="1" applyFill="1" applyBorder="1" applyAlignment="1">
      <x:alignment horizontal="center" vertical="center" wrapText="1"/>
    </x:xf>
    <x:xf numFmtId="41" fontId="4" fillId="6" borderId="194" xfId="0" applyNumberFormat="1" applyFont="1" applyFill="1" applyBorder="1">
      <x:alignment vertical="center"/>
    </x:xf>
    <x:xf numFmtId="41" fontId="4" fillId="6" borderId="169" xfId="0" applyNumberFormat="1" applyFont="1" applyFill="1" applyBorder="1">
      <x:alignment vertical="center"/>
    </x:xf>
    <x:xf numFmtId="41" fontId="4" fillId="6" borderId="37" xfId="0" applyNumberFormat="1" applyFont="1" applyFill="1" applyBorder="1">
      <x:alignment vertical="center"/>
    </x:xf>
    <x:xf numFmtId="41" fontId="4" fillId="6" borderId="48" xfId="0" applyNumberFormat="1" applyFont="1" applyFill="1" applyBorder="1">
      <x:alignment vertical="center"/>
    </x:xf>
    <x:xf numFmtId="0" fontId="8" fillId="2" borderId="186" xfId="3" applyFont="1" applyFill="1" applyBorder="1" applyAlignment="1">
      <x:alignment horizontal="center" vertical="center"/>
    </x:xf>
    <x:xf numFmtId="3" fontId="147" fillId="16" borderId="195" xfId="3" applyNumberFormat="1" applyFont="1" applyFill="1" applyBorder="1" applyAlignment="1">
      <x:alignment horizontal="right" vertical="top" shrinkToFit="1"/>
    </x:xf>
    <x:xf numFmtId="0" fontId="147" fillId="16" borderId="186" xfId="3" applyFont="1" applyFill="1" applyBorder="1" applyAlignment="1">
      <x:alignment horizontal="left" vertical="top" wrapText="1"/>
    </x:xf>
    <x:xf numFmtId="212" fontId="147" fillId="16" borderId="186" xfId="3" applyNumberFormat="1" applyFont="1" applyFill="1" applyBorder="1" applyAlignment="1">
      <x:alignment horizontal="center" vertical="center" shrinkToFit="1"/>
    </x:xf>
    <x:xf numFmtId="205" fontId="147" fillId="16" borderId="186" xfId="3" applyNumberFormat="1" applyFont="1" applyFill="1" applyBorder="1" applyAlignment="1">
      <x:alignment horizontal="center" vertical="top"/>
    </x:xf>
    <x:xf numFmtId="0" fontId="147" fillId="16" borderId="186" xfId="3" applyFont="1" applyFill="1" applyBorder="1" applyAlignment="1">
      <x:alignment horizontal="center" vertical="top"/>
    </x:xf>
    <x:xf numFmtId="3" fontId="147" fillId="16" borderId="186" xfId="3" applyNumberFormat="1" applyFont="1" applyFill="1" applyBorder="1" applyAlignment="1">
      <x:alignment horizontal="right" vertical="top" shrinkToFit="1"/>
    </x:xf>
    <x:xf numFmtId="3" fontId="147" fillId="16" borderId="196" xfId="3" applyNumberFormat="1" applyFont="1" applyFill="1" applyBorder="1" applyAlignment="1">
      <x:alignment horizontal="right" vertical="top" shrinkToFit="1"/>
    </x:xf>
    <x:xf numFmtId="3" fontId="147" fillId="16" borderId="161" xfId="3" applyNumberFormat="1" applyFont="1" applyFill="1" applyBorder="1" applyAlignment="1">
      <x:alignment horizontal="right" vertical="top" shrinkToFit="1"/>
    </x:xf>
    <x:xf numFmtId="3" fontId="147" fillId="16" borderId="198" xfId="3" applyNumberFormat="1" applyFont="1" applyFill="1" applyBorder="1" applyAlignment="1">
      <x:alignment horizontal="right" vertical="top" shrinkToFit="1"/>
    </x:xf>
    <x:xf numFmtId="3" fontId="147" fillId="16" borderId="199" xfId="3" applyNumberFormat="1" applyFont="1" applyFill="1" applyBorder="1" applyAlignment="1">
      <x:alignment horizontal="right" vertical="top" shrinkToFit="1"/>
    </x:xf>
    <x:xf numFmtId="3" fontId="96" fillId="2" borderId="200" xfId="3" applyNumberFormat="1" applyFont="1" applyFill="1" applyBorder="1"/>
    <x:xf numFmtId="0" fontId="147" fillId="16" borderId="194" xfId="3" applyFont="1" applyFill="1" applyBorder="1" applyAlignment="1">
      <x:alignment horizontal="left" vertical="top" wrapText="1"/>
    </x:xf>
    <x:xf numFmtId="212" fontId="147" fillId="16" borderId="194" xfId="3" applyNumberFormat="1" applyFont="1" applyFill="1" applyBorder="1" applyAlignment="1">
      <x:alignment horizontal="center" vertical="center" shrinkToFit="1"/>
    </x:xf>
    <x:xf numFmtId="0" fontId="147" fillId="16" borderId="194" xfId="3" applyFont="1" applyFill="1" applyBorder="1" applyAlignment="1">
      <x:alignment horizontal="center" vertical="top"/>
    </x:xf>
    <x:xf numFmtId="3" fontId="147" fillId="16" borderId="194" xfId="3" applyNumberFormat="1" applyFont="1" applyFill="1" applyBorder="1" applyAlignment="1">
      <x:alignment horizontal="right" vertical="top" shrinkToFit="1"/>
    </x:xf>
    <x:xf numFmtId="3" fontId="147" fillId="16" borderId="207" xfId="3" applyNumberFormat="1" applyFont="1" applyFill="1" applyBorder="1" applyAlignment="1">
      <x:alignment horizontal="right" vertical="top" shrinkToFit="1"/>
    </x:xf>
    <x:xf numFmtId="10" fontId="0" fillId="0" borderId="0" xfId="2" applyNumberFormat="1" applyFont="1">
      <x:alignment vertical="center"/>
    </x:xf>
    <x:xf numFmtId="202" fontId="91" fillId="0" borderId="0" xfId="4" applyNumberFormat="1" applyFont="1" applyAlignment="1">
      <x:alignment vertical="center"/>
    </x:xf>
    <x:xf numFmtId="0" fontId="80" fillId="3" borderId="1" xfId="3" applyFont="1" applyFill="1" applyBorder="1" applyAlignment="1">
      <x:alignment horizontal="center" vertical="center"/>
    </x:xf>
    <x:xf numFmtId="0" fontId="6" fillId="0" borderId="0" xfId="3" applyAlignment="1">
      <x:alignment horizontal="center" vertical="center" shrinkToFit="1"/>
    </x:xf>
    <x:xf numFmtId="180" fontId="148" fillId="4" borderId="0" xfId="4" applyNumberFormat="1" applyFont="1" applyFill="1" applyAlignment="1">
      <x:alignment horizontal="right" vertical="center"/>
    </x:xf>
    <x:xf numFmtId="181" fontId="80" fillId="5" borderId="6" xfId="3" applyNumberFormat="1" applyFont="1" applyFill="1" applyBorder="1" applyAlignment="1">
      <x:alignment horizontal="center" vertical="center"/>
    </x:xf>
    <x:xf numFmtId="181" fontId="80" fillId="5" borderId="7" xfId="3" applyNumberFormat="1" applyFont="1" applyFill="1" applyBorder="1" applyAlignment="1">
      <x:alignment horizontal="left" vertical="center" shrinkToFit="1"/>
    </x:xf>
    <x:xf numFmtId="181" fontId="80" fillId="5" borderId="7" xfId="3" applyNumberFormat="1" applyFont="1" applyFill="1" applyBorder="1" applyAlignment="1">
      <x:alignment horizontal="left" vertical="center"/>
    </x:xf>
    <x:xf numFmtId="181" fontId="6" fillId="6" borderId="8" xfId="3" applyNumberFormat="1" applyFill="1" applyBorder="1" applyAlignment="1">
      <x:alignment horizontal="center" vertical="center"/>
    </x:xf>
    <x:xf numFmtId="181" fontId="6" fillId="6" borderId="9" xfId="3" applyNumberFormat="1" applyFill="1" applyBorder="1" applyAlignment="1">
      <x:alignment horizontal="left" vertical="center" shrinkToFit="1"/>
    </x:xf>
    <x:xf numFmtId="181" fontId="6" fillId="6" borderId="9" xfId="3" applyNumberFormat="1" applyFill="1" applyBorder="1" applyAlignment="1">
      <x:alignment horizontal="left" vertical="center"/>
    </x:xf>
    <x:xf numFmtId="181" fontId="6" fillId="6" borderId="10" xfId="3" applyNumberFormat="1" applyFill="1" applyBorder="1" applyAlignment="1">
      <x:alignment horizontal="center" vertical="center"/>
    </x:xf>
    <x:xf numFmtId="181" fontId="6" fillId="6" borderId="11" xfId="3" applyNumberFormat="1" applyFill="1" applyBorder="1" applyAlignment="1">
      <x:alignment horizontal="left" vertical="center" shrinkToFit="1"/>
    </x:xf>
    <x:xf numFmtId="181" fontId="6" fillId="6" borderId="11" xfId="3" applyNumberFormat="1" applyFill="1" applyBorder="1" applyAlignment="1">
      <x:alignment horizontal="left" vertical="center"/>
    </x:xf>
    <x:xf numFmtId="181" fontId="6" fillId="0" borderId="0" xfId="3" applyNumberFormat="1" applyAlignment="1">
      <x:alignment horizontal="center" vertical="center"/>
    </x:xf>
    <x:xf numFmtId="181" fontId="6" fillId="0" borderId="0" xfId="3" applyNumberFormat="1" applyAlignment="1">
      <x:alignment horizontal="left" vertical="center" shrinkToFit="1"/>
    </x:xf>
    <x:xf numFmtId="181" fontId="6" fillId="0" borderId="0" xfId="3" applyNumberFormat="1" applyAlignment="1">
      <x:alignment horizontal="left" vertical="center"/>
    </x:xf>
    <x:xf numFmtId="181" fontId="6" fillId="6" borderId="9" xfId="3" quotePrefix="1" applyNumberFormat="1" applyFill="1" applyBorder="1" applyAlignment="1">
      <x:alignment horizontal="left" vertical="center" shrinkToFit="1"/>
    </x:xf>
    <x:xf numFmtId="181" fontId="6" fillId="5" borderId="6" xfId="3" applyNumberFormat="1" applyFill="1" applyBorder="1" applyAlignment="1">
      <x:alignment horizontal="center" vertical="center"/>
    </x:xf>
    <x:xf numFmtId="181" fontId="6" fillId="5" borderId="7" xfId="3" applyNumberFormat="1" applyFill="1" applyBorder="1" applyAlignment="1">
      <x:alignment horizontal="left" vertical="center" shrinkToFit="1"/>
    </x:xf>
    <x:xf numFmtId="181" fontId="6" fillId="5" borderId="7" xfId="3" applyNumberFormat="1" applyFill="1" applyBorder="1" applyAlignment="1">
      <x:alignment horizontal="left" vertical="center"/>
    </x:xf>
    <x:xf numFmtId="181" fontId="6" fillId="6" borderId="12" xfId="3" applyNumberFormat="1" applyFill="1" applyBorder="1" applyAlignment="1">
      <x:alignment horizontal="left" vertical="center" shrinkToFit="1"/>
    </x:xf>
    <x:xf numFmtId="41" fontId="6" fillId="0" borderId="0" xfId="1" applyFont="1" applyAlignment="1">
      <x:alignment horizontal="center" vertical="center"/>
    </x:xf>
    <x:xf numFmtId="41" fontId="6" fillId="0" borderId="0" xfId="3" applyNumberFormat="1" applyAlignment="1">
      <x:alignment horizontal="center" vertical="center" shrinkToFit="1"/>
    </x:xf>
    <x:xf numFmtId="41" fontId="6" fillId="0" borderId="0" xfId="3" applyNumberFormat="1" applyAlignment="1">
      <x:alignment horizontal="center" vertical="center"/>
    </x:xf>
    <x:xf numFmtId="180" fontId="148" fillId="4" borderId="14" xfId="4" applyNumberFormat="1" applyFont="1" applyFill="1" applyBorder="1" applyAlignment="1">
      <x:alignment horizontal="center" vertical="center"/>
    </x:xf>
    <x:xf numFmtId="181" fontId="6" fillId="5" borderId="8" xfId="3" applyNumberFormat="1" applyFill="1" applyBorder="1" applyAlignment="1">
      <x:alignment horizontal="center" vertical="center"/>
    </x:xf>
    <x:xf numFmtId="181" fontId="6" fillId="5" borderId="9" xfId="3" applyNumberFormat="1" applyFill="1" applyBorder="1" applyAlignment="1">
      <x:alignment horizontal="left" vertical="center" shrinkToFit="1"/>
    </x:xf>
    <x:xf numFmtId="181" fontId="6" fillId="5" borderId="9" xfId="3" applyNumberFormat="1" applyFill="1" applyBorder="1" applyAlignment="1">
      <x:alignment horizontal="left" vertical="center"/>
    </x:xf>
    <x:xf numFmtId="181" fontId="6" fillId="0" borderId="9" xfId="3" quotePrefix="1" applyNumberFormat="1" applyBorder="1" applyAlignment="1">
      <x:alignment horizontal="left" vertical="center" shrinkToFit="1"/>
    </x:xf>
    <x:xf numFmtId="181" fontId="6" fillId="6" borderId="11" xfId="3" quotePrefix="1" applyNumberFormat="1" applyFill="1" applyBorder="1" applyAlignment="1">
      <x:alignment horizontal="left" vertical="center" shrinkToFit="1"/>
    </x:xf>
    <x:xf numFmtId="181" fontId="6" fillId="4" borderId="6" xfId="3" applyNumberFormat="1" applyFill="1" applyBorder="1" applyAlignment="1">
      <x:alignment horizontal="center" vertical="center"/>
    </x:xf>
    <x:xf numFmtId="181" fontId="6" fillId="0" borderId="9" xfId="3" applyNumberFormat="1" applyBorder="1" applyAlignment="1">
      <x:alignment horizontal="left" vertical="center" shrinkToFit="1"/>
    </x:xf>
    <x:xf numFmtId="181" fontId="6" fillId="0" borderId="9" xfId="3" applyNumberFormat="1" applyBorder="1" applyAlignment="1">
      <x:alignment horizontal="left" vertical="center"/>
    </x:xf>
    <x:xf numFmtId="181" fontId="6" fillId="6" borderId="8" xfId="5" applyNumberFormat="1" applyFont="1" applyFill="1" applyBorder="1" applyAlignment="1">
      <x:alignment horizontal="center"/>
    </x:xf>
    <x:xf numFmtId="181" fontId="6" fillId="6" borderId="9" xfId="5" applyNumberFormat="1" applyFont="1" applyFill="1" applyBorder="1" applyAlignment="1">
      <x:alignment horizontal="left" shrinkToFit="1"/>
    </x:xf>
    <x:xf numFmtId="181" fontId="6" fillId="5" borderId="201" xfId="3" applyNumberFormat="1" applyFill="1" applyBorder="1" applyAlignment="1">
      <x:alignment horizontal="center" vertical="center"/>
    </x:xf>
    <x:xf numFmtId="181" fontId="6" fillId="5" borderId="201" xfId="3" applyNumberFormat="1" applyFill="1" applyBorder="1" applyAlignment="1">
      <x:alignment horizontal="left" vertical="center" shrinkToFit="1"/>
    </x:xf>
    <x:xf numFmtId="181" fontId="6" fillId="5" borderId="202" xfId="3" applyNumberFormat="1" applyFill="1" applyBorder="1" applyAlignment="1">
      <x:alignment horizontal="left" vertical="center"/>
    </x:xf>
    <x:xf numFmtId="181" fontId="6" fillId="6" borderId="203" xfId="3" applyNumberFormat="1" applyFill="1" applyBorder="1" applyAlignment="1">
      <x:alignment horizontal="center" vertical="center"/>
    </x:xf>
    <x:xf numFmtId="181" fontId="6" fillId="6" borderId="9" xfId="3" applyNumberFormat="1" applyFill="1" applyBorder="1" applyAlignment="1">
      <x:alignment horizontal="center" vertical="center"/>
    </x:xf>
    <x:xf numFmtId="181" fontId="6" fillId="6" borderId="204" xfId="3" applyNumberFormat="1" applyFill="1" applyBorder="1" applyAlignment="1">
      <x:alignment horizontal="center" vertical="center"/>
    </x:xf>
    <x:xf numFmtId="181" fontId="6" fillId="6" borderId="203" xfId="3" applyNumberFormat="1" applyFill="1" applyBorder="1" applyAlignment="1">
      <x:alignment horizontal="left" vertical="center" shrinkToFit="1"/>
    </x:xf>
    <x:xf numFmtId="181" fontId="6" fillId="6" borderId="204" xfId="3" applyNumberFormat="1" applyFill="1" applyBorder="1" applyAlignment="1">
      <x:alignment horizontal="left" vertical="center"/>
    </x:xf>
    <x:xf numFmtId="181" fontId="6" fillId="0" borderId="204" xfId="3" applyNumberFormat="1" applyBorder="1" applyAlignment="1">
      <x:alignment horizontal="left" vertical="center"/>
    </x:xf>
    <x:xf numFmtId="181" fontId="6" fillId="6" borderId="205" xfId="3" applyNumberFormat="1" applyFill="1" applyBorder="1" applyAlignment="1">
      <x:alignment horizontal="center" vertical="center"/>
    </x:xf>
    <x:xf numFmtId="181" fontId="6" fillId="6" borderId="11" xfId="3" applyNumberFormat="1" applyFill="1" applyBorder="1" applyAlignment="1">
      <x:alignment horizontal="center" vertical="center"/>
    </x:xf>
    <x:xf numFmtId="181" fontId="6" fillId="6" borderId="206" xfId="3" applyNumberFormat="1" applyFill="1" applyBorder="1" applyAlignment="1">
      <x:alignment horizontal="center" vertical="center"/>
    </x:xf>
    <x:xf numFmtId="181" fontId="6" fillId="6" borderId="205" xfId="3" applyNumberFormat="1" applyFill="1" applyBorder="1" applyAlignment="1">
      <x:alignment horizontal="left" vertical="center" shrinkToFit="1"/>
    </x:xf>
    <x:xf numFmtId="181" fontId="6" fillId="6" borderId="206" xfId="3" applyNumberFormat="1" applyFill="1" applyBorder="1" applyAlignment="1">
      <x:alignment horizontal="left" vertical="center"/>
    </x:xf>
    <x:xf numFmtId="181" fontId="6" fillId="0" borderId="10" xfId="3" applyNumberFormat="1" applyBorder="1" applyAlignment="1">
      <x:alignment horizontal="center" vertical="center"/>
    </x:xf>
    <x:xf numFmtId="181" fontId="6" fillId="0" borderId="11" xfId="3" applyNumberFormat="1" applyBorder="1" applyAlignment="1">
      <x:alignment horizontal="left" vertical="center" shrinkToFit="1"/>
    </x:xf>
    <x:xf numFmtId="181" fontId="6" fillId="0" borderId="11" xfId="3" applyNumberFormat="1" applyBorder="1" applyAlignment="1">
      <x:alignment horizontal="left" vertical="center"/>
    </x:xf>
    <x:xf numFmtId="181" fontId="6" fillId="5" borderId="2" xfId="3" applyNumberFormat="1" applyFill="1" applyBorder="1" applyAlignment="1">
      <x:alignment horizontal="center" vertical="center"/>
    </x:xf>
    <x:xf numFmtId="181" fontId="6" fillId="6" borderId="6" xfId="3" applyNumberFormat="1" applyFill="1" applyBorder="1" applyAlignment="1">
      <x:alignment horizontal="center" vertical="center"/>
    </x:xf>
    <x:xf numFmtId="181" fontId="6" fillId="0" borderId="8" xfId="3" applyNumberFormat="1" applyBorder="1" applyAlignment="1">
      <x:alignment horizontal="center" vertical="center"/>
    </x:xf>
    <x:xf numFmtId="181" fontId="6" fillId="0" borderId="17" xfId="3" applyNumberFormat="1" applyBorder="1" applyAlignment="1">
      <x:alignment horizontal="left" vertical="center" shrinkToFit="1"/>
    </x:xf>
    <x:xf numFmtId="181" fontId="6" fillId="0" borderId="17" xfId="3" applyNumberFormat="1" applyBorder="1" applyAlignment="1">
      <x:alignment horizontal="left" vertical="center"/>
    </x:xf>
    <x:xf numFmtId="181" fontId="6" fillId="5" borderId="1" xfId="3" applyNumberFormat="1" applyFill="1" applyBorder="1" applyAlignment="1">
      <x:alignment horizontal="center" vertical="center"/>
    </x:xf>
    <x:xf numFmtId="181" fontId="6" fillId="5" borderId="18" xfId="3" applyNumberFormat="1" applyFill="1" applyBorder="1" applyAlignment="1">
      <x:alignment horizontal="left" vertical="center" shrinkToFit="1"/>
    </x:xf>
    <x:xf numFmtId="181" fontId="6" fillId="5" borderId="18" xfId="3" applyNumberFormat="1" applyFill="1" applyBorder="1" applyAlignment="1">
      <x:alignment horizontal="left" vertical="center"/>
    </x:xf>
    <x:xf numFmtId="181" fontId="6" fillId="6" borderId="0" xfId="3" applyNumberFormat="1" applyFill="1" applyAlignment="1">
      <x:alignment horizontal="center" vertical="center"/>
    </x:xf>
    <x:xf numFmtId="181" fontId="6" fillId="7" borderId="6" xfId="3" applyNumberFormat="1" applyFill="1" applyBorder="1" applyAlignment="1">
      <x:alignment horizontal="center" vertical="center"/>
    </x:xf>
    <x:xf numFmtId="181" fontId="6" fillId="7" borderId="7" xfId="3" applyNumberFormat="1" applyFill="1" applyBorder="1" applyAlignment="1">
      <x:alignment horizontal="left" vertical="center" shrinkToFit="1"/>
    </x:xf>
    <x:xf numFmtId="181" fontId="6" fillId="7" borderId="7" xfId="3" applyNumberFormat="1" applyFill="1" applyBorder="1" applyAlignment="1">
      <x:alignment horizontal="left" vertical="center"/>
    </x:xf>
    <x:xf numFmtId="0" fontId="6" fillId="0" borderId="0" xfId="3" applyAlignment="1">
      <x:alignment horizontal="left" vertical="center" shrinkToFit="1"/>
    </x:xf>
    <x:xf numFmtId="0" fontId="6" fillId="0" borderId="0" xfId="3" applyAlignment="1">
      <x:alignment horizontal="left" vertical="center"/>
    </x:xf>
    <x:xf numFmtId="181" fontId="6" fillId="6" borderId="9" xfId="3" quotePrefix="1" applyNumberFormat="1" applyFill="1" applyBorder="1" applyAlignment="1">
      <x:alignment horizontal="left" vertical="center"/>
    </x:xf>
    <x:xf numFmtId="0" fontId="80" fillId="0" borderId="5" xfId="3" applyFont="1" applyBorder="1" applyAlignment="1">
      <x:alignment horizontal="center" vertical="center" shrinkToFit="1"/>
    </x:xf>
    <x:xf numFmtId="180" fontId="148" fillId="4" borderId="0" xfId="4" applyNumberFormat="1" applyFont="1" applyFill="1" applyAlignment="1">
      <x:alignment vertical="center" shrinkToFit="1"/>
    </x:xf>
    <x:xf numFmtId="180" fontId="150" fillId="0" borderId="0" xfId="4" applyNumberFormat="1" applyFont="1" applyAlignment="1">
      <x:alignment vertical="center"/>
    </x:xf>
    <x:xf numFmtId="180" fontId="148" fillId="0" borderId="0" xfId="4" applyNumberFormat="1" applyFont="1" applyAlignment="1">
      <x:alignment vertical="center"/>
    </x:xf>
    <x:xf numFmtId="0" fontId="80" fillId="5" borderId="6" xfId="3" applyFont="1" applyFill="1" applyBorder="1" applyAlignment="1">
      <x:alignment horizontal="center" vertical="center" shrinkToFit="1"/>
    </x:xf>
    <x:xf numFmtId="0" fontId="6" fillId="0" borderId="8" xfId="3" applyBorder="1" applyAlignment="1">
      <x:alignment horizontal="center" vertical="center" shrinkToFit="1"/>
    </x:xf>
    <x:xf numFmtId="0" fontId="6" fillId="6" borderId="0" xfId="3" applyFill="1" applyAlignment="1">
      <x:alignment horizontal="center" vertical="center"/>
    </x:xf>
    <x:xf numFmtId="181" fontId="151" fillId="2" borderId="0" xfId="3" applyNumberFormat="1" applyFont="1" applyFill="1" applyAlignment="1">
      <x:alignment horizontal="center" vertical="center"/>
    </x:xf>
    <x:xf numFmtId="0" fontId="6" fillId="0" borderId="10" xfId="3" applyBorder="1" applyAlignment="1">
      <x:alignment horizontal="center" vertical="center" shrinkToFit="1"/>
    </x:xf>
    <x:xf numFmtId="0" fontId="6" fillId="0" borderId="15" xfId="3" applyBorder="1" applyAlignment="1">
      <x:alignment horizontal="center" vertical="center" shrinkToFit="1"/>
    </x:xf>
    <x:xf numFmtId="0" fontId="6" fillId="6" borderId="13" xfId="3" applyFill="1" applyBorder="1" applyAlignment="1">
      <x:alignment horizontal="center" vertical="center"/>
    </x:xf>
    <x:xf numFmtId="180" fontId="148" fillId="4" borderId="14" xfId="4" applyNumberFormat="1" applyFont="1" applyFill="1" applyBorder="1" applyAlignment="1">
      <x:alignment horizontal="center" vertical="center" shrinkToFit="1"/>
    </x:xf>
    <x:xf numFmtId="0" fontId="80" fillId="5" borderId="8" xfId="3" applyFont="1" applyFill="1" applyBorder="1" applyAlignment="1">
      <x:alignment horizontal="center" vertical="center" shrinkToFit="1"/>
    </x:xf>
    <x:xf numFmtId="0" fontId="80" fillId="4" borderId="6" xfId="3" applyFont="1" applyFill="1" applyBorder="1" applyAlignment="1">
      <x:alignment horizontal="center" vertical="center" shrinkToFit="1"/>
    </x:xf>
    <x:xf numFmtId="0" fontId="6" fillId="6" borderId="0" xfId="3" applyFill="1" applyAlignment="1">
      <x:alignment horizontal="left" vertical="center"/>
    </x:xf>
    <x:xf numFmtId="0" fontId="6" fillId="0" borderId="16" xfId="3" applyBorder="1" applyAlignment="1">
      <x:alignment horizontal="center" vertical="center" shrinkToFit="1"/>
    </x:xf>
    <x:xf numFmtId="181" fontId="6" fillId="5" borderId="6" xfId="3" applyNumberFormat="1" applyFill="1" applyBorder="1" applyAlignment="1">
      <x:alignment horizontal="center" vertical="center" shrinkToFit="1"/>
    </x:xf>
    <x:xf numFmtId="0" fontId="80" fillId="5" borderId="1" xfId="3" applyFont="1" applyFill="1" applyBorder="1" applyAlignment="1">
      <x:alignment horizontal="center" vertical="center" shrinkToFit="1"/>
    </x:xf>
    <x:xf numFmtId="0" fontId="80" fillId="6" borderId="0" xfId="3" applyFont="1" applyFill="1" applyAlignment="1">
      <x:alignment horizontal="center" vertical="center" shrinkToFit="1"/>
    </x:xf>
    <x:xf numFmtId="180" fontId="148" fillId="7" borderId="6" xfId="3" applyNumberFormat="1" applyFont="1" applyFill="1" applyBorder="1" applyAlignment="1">
      <x:alignment horizontal="center" vertical="center" shrinkToFit="1"/>
    </x:xf>
    <x:xf numFmtId="0" fontId="6" fillId="6" borderId="8" xfId="3" applyFill="1" applyBorder="1" applyAlignment="1">
      <x:alignment horizontal="center" vertical="center" shrinkToFit="1"/>
    </x:xf>
    <x:xf numFmtId="0" fontId="43" fillId="8" borderId="8" xfId="6" applyFont="1" applyFill="1" applyBorder="1" applyAlignment="1">
      <x:alignment horizontal="center" vertical="center" shrinkToFit="1"/>
    </x:xf>
    <x:xf numFmtId="0" fontId="43" fillId="8" borderId="10" xfId="6" applyFont="1" applyFill="1" applyBorder="1" applyAlignment="1">
      <x:alignment horizontal="center" vertical="center" shrinkToFit="1"/>
    </x:xf>
    <x:xf numFmtId="0" fontId="6" fillId="6" borderId="1" xfId="3" applyFill="1" applyBorder="1" applyAlignment="1">
      <x:alignment horizontal="center" vertical="center" shrinkToFit="1"/>
    </x:xf>
    <x:xf numFmtId="0" fontId="43" fillId="0" borderId="8" xfId="6" applyFont="1" applyBorder="1" applyAlignment="1">
      <x:alignment horizontal="center" vertical="center" shrinkToFit="1"/>
    </x:xf>
    <x:xf numFmtId="0" fontId="43" fillId="0" borderId="10" xfId="6" applyFont="1" applyBorder="1" applyAlignment="1">
      <x:alignment horizontal="center" vertical="center" shrinkToFit="1"/>
    </x:xf>
    <x:xf numFmtId="0" fontId="6" fillId="0" borderId="0" xfId="17" applyAlignment="1">
      <x:alignment horizontal="center" vertical="center" shrinkToFit="1"/>
    </x:xf>
    <x:xf numFmtId="0" fontId="47" fillId="0" borderId="0" xfId="17" applyFont="1" applyAlignment="1">
      <x:alignment horizontal="right" vertical="center" shrinkToFit="1"/>
    </x:xf>
    <x:xf numFmtId="41" fontId="47" fillId="0" borderId="86" xfId="18" applyNumberFormat="1" applyFont="1" applyBorder="1" applyAlignment="1">
      <x:alignment horizontal="left" vertical="center" shrinkToFit="1"/>
    </x:xf>
    <x:xf numFmtId="41" fontId="47" fillId="0" borderId="150" xfId="18" applyNumberFormat="1" applyFont="1" applyBorder="1" applyAlignment="1">
      <x:alignment horizontal="left" vertical="center" shrinkToFit="1"/>
    </x:xf>
    <x:xf numFmtId="41" fontId="47" fillId="6" borderId="153" xfId="18" applyNumberFormat="1" applyFont="1" applyFill="1" applyBorder="1" applyAlignment="1">
      <x:alignment horizontal="left" vertical="center" shrinkToFit="1"/>
    </x:xf>
    <x:xf numFmtId="41" fontId="47" fillId="6" borderId="86" xfId="18" applyNumberFormat="1" applyFont="1" applyFill="1" applyBorder="1" applyAlignment="1">
      <x:alignment horizontal="left" vertical="center" shrinkToFit="1"/>
    </x:xf>
    <x:xf numFmtId="41" fontId="47" fillId="6" borderId="150" xfId="18" applyNumberFormat="1" applyFont="1" applyFill="1" applyBorder="1" applyAlignment="1">
      <x:alignment horizontal="left" vertical="center" shrinkToFit="1"/>
    </x:xf>
    <x:xf numFmtId="41" fontId="47" fillId="0" borderId="153" xfId="18" applyNumberFormat="1" applyFont="1" applyBorder="1" applyAlignment="1">
      <x:alignment horizontal="left" vertical="center" shrinkToFit="1"/>
    </x:xf>
    <x:xf numFmtId="41" fontId="47" fillId="0" borderId="93" xfId="18" applyNumberFormat="1" applyFont="1" applyBorder="1" applyAlignment="1">
      <x:alignment horizontal="left" vertical="center" shrinkToFit="1"/>
    </x:xf>
    <x:xf numFmtId="41" fontId="54" fillId="0" borderId="96" xfId="18" applyNumberFormat="1" applyFont="1" applyBorder="1" applyAlignment="1">
      <x:alignment horizontal="center" vertical="center" shrinkToFit="1"/>
    </x:xf>
    <x:xf numFmtId="41" fontId="55" fillId="0" borderId="86" xfId="18" applyNumberFormat="1" applyFont="1" applyBorder="1" applyAlignment="1">
      <x:alignment horizontal="center" vertical="center" shrinkToFit="1"/>
    </x:xf>
    <x:xf numFmtId="41" fontId="55" fillId="0" borderId="97" xfId="18" applyNumberFormat="1" applyFont="1" applyBorder="1" applyAlignment="1">
      <x:alignment horizontal="center" vertical="center" shrinkToFit="1"/>
    </x:xf>
    <x:xf numFmtId="41" fontId="54" fillId="0" borderId="81" xfId="18" applyNumberFormat="1" applyFont="1" applyBorder="1" applyAlignment="1">
      <x:alignment horizontal="center" vertical="center" shrinkToFit="1"/>
    </x:xf>
    <x:xf numFmtId="41" fontId="54" fillId="0" borderId="157" xfId="18" applyNumberFormat="1" applyFont="1" applyBorder="1" applyAlignment="1">
      <x:alignment horizontal="center" vertical="center" shrinkToFit="1"/>
    </x:xf>
    <x:xf numFmtId="41" fontId="54" fillId="0" borderId="158" xfId="18" applyNumberFormat="1" applyFont="1" applyBorder="1" applyAlignment="1">
      <x:alignment horizontal="center" vertical="center" shrinkToFit="1"/>
    </x:xf>
    <x:xf numFmtId="41" fontId="54" fillId="0" borderId="159" xfId="18" applyNumberFormat="1" applyFont="1" applyBorder="1" applyAlignment="1">
      <x:alignment horizontal="center" vertical="center" shrinkToFit="1"/>
    </x:xf>
    <x:xf numFmtId="0" fontId="47" fillId="6" borderId="154" xfId="18" applyFont="1" applyFill="1" applyBorder="1" applyAlignment="1">
      <x:alignment vertical="center" shrinkToFit="1"/>
    </x:xf>
    <x:xf numFmtId="41" fontId="54" fillId="0" borderId="97" xfId="18" applyNumberFormat="1" applyFont="1" applyBorder="1" applyAlignment="1">
      <x:alignment horizontal="center" vertical="center" shrinkToFit="1"/>
    </x:xf>
    <x:xf numFmtId="41" fontId="47" fillId="6" borderId="97" xfId="18" applyNumberFormat="1" applyFont="1" applyFill="1" applyBorder="1" applyAlignment="1">
      <x:alignment horizontal="center" vertical="center" shrinkToFit="1"/>
    </x:xf>
    <x:xf numFmtId="0" fontId="47" fillId="6" borderId="97" xfId="18" applyFont="1" applyFill="1" applyBorder="1" applyAlignment="1">
      <x:alignment vertical="center" shrinkToFit="1"/>
    </x:xf>
    <x:xf numFmtId="0" fontId="47" fillId="6" borderId="103" xfId="18" applyFont="1" applyFill="1" applyBorder="1" applyAlignment="1">
      <x:alignment vertical="center" shrinkToFit="1"/>
    </x:xf>
    <x:xf numFmtId="0" fontId="47" fillId="6" borderId="0" xfId="18" applyFont="1" applyFill="1" applyAlignment="1">
      <x:alignment vertical="center" shrinkToFit="1"/>
    </x:xf>
    <x:xf numFmtId="41" fontId="56" fillId="0" borderId="0" xfId="22" applyNumberFormat="1" applyFont="1" applyAlignment="1">
      <x:alignment horizontal="right" vertical="center" shrinkToFit="1"/>
    </x:xf>
    <x:xf numFmtId="41" fontId="47" fillId="0" borderId="96" xfId="18" applyNumberFormat="1" applyFont="1" applyBorder="1" applyAlignment="1">
      <x:alignment horizontal="left" vertical="center" shrinkToFit="1"/>
    </x:xf>
    <x:xf numFmtId="41" fontId="54" fillId="0" borderId="86" xfId="18" applyNumberFormat="1" applyFont="1" applyBorder="1" applyAlignment="1">
      <x:alignment horizontal="center" vertical="center" shrinkToFit="1"/>
    </x:xf>
    <x:xf numFmtId="0" fontId="1" fillId="0" borderId="0" xfId="22" applyAlignment="1">
      <x:alignment horizontal="center" vertical="center" shrinkToFit="1"/>
    </x:xf>
    <x:xf numFmtId="41" fontId="56" fillId="0" borderId="106" xfId="22" applyNumberFormat="1" applyFont="1" applyBorder="1" applyAlignment="1">
      <x:alignment horizontal="right" vertical="center" shrinkToFit="1"/>
    </x:xf>
    <x:xf numFmtId="183" fontId="63" fillId="9" borderId="131" xfId="23" applyNumberFormat="1" applyFont="1" applyFill="1" applyBorder="1" applyAlignment="1">
      <x:alignment vertical="center" shrinkToFit="1"/>
    </x:xf>
    <x:xf numFmtId="0" fontId="1" fillId="0" borderId="105" xfId="22" applyBorder="1" applyAlignment="1">
      <x:alignment horizontal="center" vertical="center" shrinkToFit="1"/>
    </x:xf>
    <x:xf numFmtId="41" fontId="56" fillId="0" borderId="0" xfId="22" applyNumberFormat="1" applyFont="1" applyAlignment="1">
      <x:alignment horizontal="center" vertical="center" shrinkToFit="1"/>
    </x:xf>
    <x:xf numFmtId="41" fontId="56" fillId="0" borderId="111" xfId="22" applyNumberFormat="1" applyFont="1" applyBorder="1" applyAlignment="1">
      <x:alignment horizontal="right" vertical="center" shrinkToFit="1"/>
    </x:xf>
    <x:xf numFmtId="41" fontId="47" fillId="0" borderId="132" xfId="18" applyNumberFormat="1" applyFont="1" applyBorder="1" applyAlignment="1">
      <x:alignment horizontal="left" vertical="center" shrinkToFit="1"/>
    </x:xf>
    <x:xf numFmtId="9" fontId="47" fillId="0" borderId="86" xfId="85" applyFont="1" applyBorder="1" applyAlignment="1">
      <x:alignment horizontal="left" vertical="center" shrinkToFit="1"/>
    </x:xf>
    <x:xf numFmtId="41" fontId="47" fillId="0" borderId="97" xfId="18" applyNumberFormat="1" applyFont="1" applyBorder="1" applyAlignment="1">
      <x:alignment horizontal="left" vertical="center" shrinkToFit="1"/>
    </x:xf>
    <x:xf numFmtId="183" fontId="63" fillId="9" borderId="103" xfId="23" applyNumberFormat="1" applyFont="1" applyFill="1" applyBorder="1" applyAlignment="1">
      <x:alignment vertical="center" shrinkToFit="1"/>
    </x:xf>
    <x:xf numFmtId="0" fontId="152" fillId="0" borderId="0" xfId="17" applyFont="1" applyAlignment="1">
      <x:alignment vertical="center"/>
    </x:xf>
    <x:xf numFmtId="189" fontId="4" fillId="12" borderId="43" xfId="4" applyNumberFormat="1" applyFont="1" applyFill="1" applyBorder="1" applyAlignment="1">
      <x:alignment vertical="center"/>
    </x:xf>
    <x:xf numFmtId="189" fontId="4" fillId="12" borderId="29" xfId="4" applyNumberFormat="1" applyFont="1" applyFill="1" applyBorder="1" applyAlignment="1">
      <x:alignment horizontal="center" vertical="center"/>
    </x:xf>
    <x:xf numFmtId="189" fontId="4" fillId="12" borderId="209" xfId="4" applyNumberFormat="1" applyFont="1" applyFill="1" applyBorder="1" applyAlignment="1">
      <x:alignment vertical="center"/>
    </x:xf>
    <x:xf numFmtId="189" fontId="4" fillId="12" borderId="194" xfId="4" applyNumberFormat="1" applyFont="1" applyFill="1" applyBorder="1" applyAlignment="1">
      <x:alignment horizontal="center" vertical="center"/>
    </x:xf>
    <x:xf numFmtId="189" fontId="4" fillId="12" borderId="210" xfId="4" applyNumberFormat="1" applyFont="1" applyFill="1" applyBorder="1" applyAlignment="1">
      <x:alignment vertical="center"/>
    </x:xf>
    <x:xf numFmtId="189" fontId="4" fillId="12" borderId="211" xfId="4" applyNumberFormat="1" applyFont="1" applyFill="1" applyBorder="1" applyAlignment="1">
      <x:alignment horizontal="center" vertical="center"/>
    </x:xf>
    <x:xf numFmtId="189" fontId="4" fillId="12" borderId="213" xfId="4" applyNumberFormat="1" applyFont="1" applyFill="1" applyBorder="1" applyAlignment="1">
      <x:alignment vertical="center"/>
    </x:xf>
    <x:xf numFmtId="189" fontId="4" fillId="12" borderId="214" xfId="4" applyNumberFormat="1" applyFont="1" applyFill="1" applyBorder="1" applyAlignment="1">
      <x:alignment horizontal="center" vertical="center"/>
    </x:xf>
    <x:xf numFmtId="181" fontId="95" fillId="6" borderId="214" xfId="26" applyNumberFormat="1" applyFont="1" applyFill="1" applyBorder="1" applyAlignment="1">
      <x:alignment horizontal="right" vertical="center"/>
    </x:xf>
    <x:xf numFmtId="181" fontId="95" fillId="12" borderId="215" xfId="26" applyNumberFormat="1" applyFont="1" applyFill="1" applyBorder="1" applyAlignment="1">
      <x:alignment horizontal="right" vertical="center"/>
    </x:xf>
    <x:xf numFmtId="0" fontId="4" fillId="12" borderId="151" xfId="9" applyFont="1" applyFill="1" applyBorder="1" applyAlignment="1">
      <x:alignment horizontal="center" vertical="center"/>
    </x:xf>
    <x:xf numFmtId="0" fontId="4" fillId="12" borderId="5" xfId="9" applyFont="1" applyFill="1" applyBorder="1" applyAlignment="1">
      <x:alignment horizontal="center" vertical="center"/>
    </x:xf>
    <x:xf numFmtId="0" fontId="4" fillId="12" borderId="208" xfId="9" applyFont="1" applyFill="1" applyBorder="1" applyAlignment="1">
      <x:alignment horizontal="center" vertical="center"/>
    </x:xf>
    <x:xf numFmtId="189" fontId="4" fillId="12" borderId="148" xfId="4" applyNumberFormat="1" applyFont="1" applyFill="1" applyBorder="1" applyAlignment="1">
      <x:alignment horizontal="center" vertical="center"/>
    </x:xf>
    <x:xf numFmtId="189" fontId="4" fillId="12" borderId="56" xfId="4" applyNumberFormat="1" applyFont="1" applyFill="1" applyBorder="1" applyAlignment="1">
      <x:alignment horizontal="center" vertical="center"/>
    </x:xf>
    <x:xf numFmtId="181" fontId="95" fillId="6" borderId="56" xfId="26" applyNumberFormat="1" applyFont="1" applyFill="1" applyBorder="1" applyAlignment="1">
      <x:alignment horizontal="right" vertical="center"/>
    </x:xf>
    <x:xf numFmtId="181" fontId="95" fillId="12" borderId="212" xfId="26" applyNumberFormat="1" applyFont="1" applyFill="1" applyBorder="1" applyAlignment="1">
      <x:alignment horizontal="right" vertical="center"/>
    </x:xf>
    <x:xf numFmtId="0" fontId="7" fillId="12" borderId="1" xfId="15" applyFont="1" applyFill="1" applyBorder="1" applyAlignment="1">
      <x:alignment horizontal="center" vertical="center" wrapText="1"/>
    </x:xf>
    <x:xf numFmtId="0" fontId="7" fillId="12" borderId="32" xfId="15" applyFont="1" applyFill="1" applyBorder="1" applyAlignment="1">
      <x:alignment horizontal="center" vertical="center" wrapText="1"/>
    </x:xf>
    <x:xf numFmtId="0" fontId="7" fillId="6" borderId="1" xfId="15" applyFont="1" applyFill="1" applyBorder="1" applyAlignment="1">
      <x:alignment horizontal="center" vertical="center" wrapText="1"/>
    </x:xf>
    <x:xf numFmtId="0" fontId="11" fillId="0" borderId="1" xfId="15" applyFont="1" applyBorder="1" applyAlignment="1">
      <x:alignment horizontal="center" vertical="center" wrapText="1"/>
    </x:xf>
    <x:xf numFmtId="0" fontId="153" fillId="15" borderId="38" xfId="15" applyFont="1" applyFill="1" applyBorder="1" applyAlignment="1">
      <x:alignment vertical="center"/>
    </x:xf>
    <x:xf numFmtId="0" fontId="153" fillId="15" borderId="3" xfId="15" applyFont="1" applyFill="1" applyBorder="1" applyAlignment="1">
      <x:alignment vertical="center"/>
    </x:xf>
    <x:xf numFmtId="0" fontId="153" fillId="15" borderId="39" xfId="15" applyFont="1" applyFill="1" applyBorder="1" applyAlignment="1">
      <x:alignment vertical="center"/>
    </x:xf>
    <x:xf numFmtId="0" fontId="153" fillId="15" borderId="40" xfId="15" applyFont="1" applyFill="1" applyBorder="1" applyAlignment="1">
      <x:alignment horizontal="center" vertical="center" wrapText="1"/>
    </x:xf>
    <x:xf numFmtId="0" fontId="153" fillId="15" borderId="24" xfId="15" applyFont="1" applyFill="1" applyBorder="1" applyAlignment="1">
      <x:alignment horizontal="center" vertical="center" wrapText="1"/>
    </x:xf>
    <x:xf numFmtId="0" fontId="153" fillId="15" borderId="3" xfId="15" applyFont="1" applyFill="1" applyBorder="1" applyAlignment="1">
      <x:alignment horizontal="center" vertical="center" wrapText="1"/>
    </x:xf>
    <x:xf numFmtId="0" fontId="153" fillId="15" borderId="41" xfId="15" applyFont="1" applyFill="1" applyBorder="1" applyAlignment="1">
      <x:alignment horizontal="center" vertical="center" wrapText="1"/>
    </x:xf>
    <x:xf numFmtId="0" fontId="149" fillId="0" borderId="43" xfId="15" applyFont="1" applyBorder="1" applyAlignment="1">
      <x:alignment horizontal="center" vertical="center" wrapText="1"/>
    </x:xf>
    <x:xf numFmtId="0" fontId="149" fillId="0" borderId="29" xfId="15" applyFont="1" applyBorder="1" applyAlignment="1">
      <x:alignment horizontal="center" vertical="center" wrapText="1"/>
    </x:xf>
    <x:xf numFmtId="0" fontId="149" fillId="0" borderId="30" xfId="15" applyFont="1" applyBorder="1" applyAlignment="1">
      <x:alignment horizontal="center" vertical="center" wrapText="1"/>
    </x:xf>
    <x:xf numFmtId="0" fontId="149" fillId="0" borderId="35" xfId="15" applyFont="1" applyBorder="1" applyAlignment="1">
      <x:alignment horizontal="center" vertical="center" wrapText="1"/>
    </x:xf>
    <x:xf numFmtId="0" fontId="149" fillId="0" borderId="1" xfId="15" applyFont="1" applyBorder="1" applyAlignment="1">
      <x:alignment horizontal="center" vertical="center" wrapText="1"/>
    </x:xf>
    <x:xf numFmtId="0" fontId="149" fillId="0" borderId="32" xfId="15" applyFont="1" applyBorder="1" applyAlignment="1">
      <x:alignment horizontal="center" vertical="center" wrapText="1"/>
    </x:xf>
    <x:xf numFmtId="0" fontId="149" fillId="0" borderId="55" xfId="15" applyFont="1" applyBorder="1" applyAlignment="1">
      <x:alignment horizontal="center" vertical="center" wrapText="1"/>
    </x:xf>
    <x:xf numFmtId="0" fontId="149" fillId="0" borderId="194" xfId="15" applyFont="1" applyBorder="1" applyAlignment="1">
      <x:alignment horizontal="center" vertical="center" wrapText="1"/>
    </x:xf>
    <x:xf numFmtId="0" fontId="149" fillId="0" borderId="168" xfId="15" applyFont="1" applyBorder="1" applyAlignment="1">
      <x:alignment horizontal="center" vertical="center" wrapText="1"/>
    </x:xf>
    <x:xf numFmtId="0" fontId="155" fillId="0" borderId="2" xfId="15" applyFont="1" applyBorder="1" applyAlignment="1">
      <x:alignment horizontal="center" vertical="center" wrapText="1"/>
    </x:xf>
    <x:xf numFmtId="0" fontId="149" fillId="0" borderId="47" xfId="15" applyFont="1" applyBorder="1" applyAlignment="1">
      <x:alignment horizontal="center" vertical="center" wrapText="1"/>
    </x:xf>
    <x:xf numFmtId="0" fontId="153" fillId="15" borderId="45" xfId="15" applyFont="1" applyFill="1" applyBorder="1" applyAlignment="1">
      <x:alignment vertical="center"/>
    </x:xf>
    <x:xf numFmtId="0" fontId="153" fillId="15" borderId="46" xfId="15" applyFont="1" applyFill="1" applyBorder="1" applyAlignment="1">
      <x:alignment vertical="center"/>
    </x:xf>
    <x:xf numFmtId="0" fontId="153" fillId="15" borderId="2" xfId="15" applyFont="1" applyFill="1" applyBorder="1" applyAlignment="1">
      <x:alignment vertical="center"/>
    </x:xf>
    <x:xf numFmtId="0" fontId="153" fillId="15" borderId="47" xfId="15" applyFont="1" applyFill="1" applyBorder="1" applyAlignment="1">
      <x:alignment vertical="center"/>
    </x:xf>
    <x:xf numFmtId="0" fontId="153" fillId="15" borderId="49" xfId="15" applyFont="1" applyFill="1" applyBorder="1" applyAlignment="1">
      <x:alignment horizontal="center" vertical="center" wrapText="1"/>
    </x:xf>
    <x:xf numFmtId="0" fontId="158" fillId="0" borderId="43" xfId="15" applyFont="1" applyBorder="1" applyAlignment="1">
      <x:alignment horizontal="center" vertical="center"/>
    </x:xf>
    <x:xf numFmtId="0" fontId="39" fillId="6" borderId="29" xfId="15" applyFont="1" applyFill="1" applyBorder="1" applyAlignment="1">
      <x:alignment horizontal="center" vertical="center" wrapText="1"/>
    </x:xf>
    <x:xf numFmtId="0" fontId="159" fillId="0" borderId="29" xfId="15" applyFont="1" applyBorder="1" applyAlignment="1">
      <x:alignment horizontal="center" vertical="center" wrapText="1"/>
    </x:xf>
    <x:xf numFmtId="0" fontId="159" fillId="0" borderId="1" xfId="15" applyFont="1" applyBorder="1" applyAlignment="1">
      <x:alignment horizontal="center" vertical="center" wrapText="1"/>
    </x:xf>
    <x:xf numFmtId="0" fontId="158" fillId="0" borderId="55" xfId="15" applyFont="1" applyBorder="1" applyAlignment="1">
      <x:alignment horizontal="center" vertical="center"/>
    </x:xf>
    <x:xf numFmtId="0" fontId="149" fillId="0" borderId="36" xfId="15" applyFont="1" applyBorder="1" applyAlignment="1">
      <x:alignment horizontal="center" vertical="center" wrapText="1"/>
    </x:xf>
    <x:xf numFmtId="0" fontId="149" fillId="0" borderId="37" xfId="15" applyFont="1" applyBorder="1" applyAlignment="1">
      <x:alignment horizontal="center" vertical="center" wrapText="1"/>
    </x:xf>
    <x:xf numFmtId="0" fontId="149" fillId="0" borderId="48" xfId="15" applyFont="1" applyBorder="1" applyAlignment="1">
      <x:alignment horizontal="center" vertical="center" wrapText="1"/>
    </x:xf>
    <x:xf numFmtId="0" fontId="159" fillId="0" borderId="37" xfId="15" applyFont="1" applyBorder="1" applyAlignment="1">
      <x:alignment horizontal="center" vertical="center" wrapText="1"/>
    </x:xf>
    <x:xf numFmtId="41" fontId="4" fillId="54" borderId="194" xfId="0" applyNumberFormat="1" applyFont="1" applyFill="1" applyBorder="1">
      <x:alignment vertical="center"/>
    </x:xf>
    <x:xf numFmtId="41" fontId="160" fillId="0" borderId="3" xfId="0" applyNumberFormat="1" applyFont="1" applyBorder="1" applyAlignment="1">
      <x:alignment horizontal="center" vertical="center"/>
    </x:xf>
    <x:xf numFmtId="0" fontId="53" fillId="0" borderId="216" xfId="18" applyFont="1" applyBorder="1" applyAlignment="1">
      <x:alignment horizontal="center" vertical="center"/>
    </x:xf>
    <x:xf numFmtId="0" fontId="53" fillId="0" borderId="197" xfId="18" applyFont="1" applyBorder="1" applyAlignment="1">
      <x:alignment horizontal="center" vertical="center"/>
    </x:xf>
    <x:xf numFmtId="41" fontId="53" fillId="0" borderId="217" xfId="19" applyFont="1" applyFill="1" applyBorder="1" applyAlignment="1">
      <x:alignment vertical="center"/>
    </x:xf>
    <x:xf numFmtId="41" fontId="53" fillId="0" borderId="216" xfId="19" applyFont="1" applyFill="1" applyBorder="1" applyAlignment="1">
      <x:alignment vertical="center"/>
    </x:xf>
    <x:xf numFmtId="41" fontId="47" fillId="0" borderId="194" xfId="1" applyFont="1" applyBorder="1" applyAlignment="1">
      <x:alignment horizontal="center" vertical="center"/>
    </x:xf>
    <x:xf numFmtId="41" fontId="47" fillId="0" borderId="194" xfId="18" applyNumberFormat="1" applyFont="1" applyBorder="1" applyAlignment="1">
      <x:alignment horizontal="center" vertical="center"/>
    </x:xf>
    <x:xf numFmtId="41" fontId="161" fillId="7" borderId="4" xfId="19" applyFont="1" applyFill="1" applyBorder="1" applyAlignment="1">
      <x:alignment vertical="center"/>
    </x:xf>
    <x:xf numFmtId="0" fontId="53" fillId="0" borderId="218" xfId="18" applyFont="1" applyBorder="1" applyAlignment="1">
      <x:alignment horizontal="center" vertical="center"/>
    </x:xf>
    <x:xf numFmtId="0" fontId="53" fillId="0" borderId="194" xfId="18" applyFont="1" applyBorder="1" applyAlignment="1">
      <x:alignment horizontal="center" vertical="center"/>
    </x:xf>
    <x:xf numFmtId="0" fontId="53" fillId="0" borderId="207" xfId="18" applyFont="1" applyBorder="1" applyAlignment="1">
      <x:alignment horizontal="center" vertical="center"/>
    </x:xf>
    <x:xf numFmtId="41" fontId="53" fillId="0" borderId="220" xfId="19" applyFont="1" applyFill="1" applyBorder="1" applyAlignment="1">
      <x:alignment vertical="center"/>
    </x:xf>
    <x:xf numFmtId="41" fontId="53" fillId="0" borderId="194" xfId="19" applyFont="1" applyFill="1" applyBorder="1" applyAlignment="1">
      <x:alignment vertical="center"/>
    </x:xf>
    <x:xf numFmtId="41" fontId="53" fillId="0" borderId="219" xfId="19" applyFont="1" applyFill="1" applyBorder="1" applyAlignment="1">
      <x:alignment vertical="center"/>
    </x:xf>
    <x:xf numFmtId="41" fontId="53" fillId="7" borderId="4" xfId="19" applyFont="1" applyFill="1" applyBorder="1" applyAlignment="1">
      <x:alignment vertical="center"/>
    </x:xf>
    <x:xf numFmtId="41" fontId="47" fillId="0" borderId="221" xfId="18" applyNumberFormat="1" applyFont="1" applyBorder="1" applyAlignment="1">
      <x:alignment horizontal="left" vertical="center" shrinkToFit="1"/>
    </x:xf>
    <x:xf numFmtId="0" fontId="53" fillId="0" borderId="222" xfId="18" applyFont="1" applyBorder="1" applyAlignment="1">
      <x:alignment horizontal="center" vertical="center"/>
    </x:xf>
    <x:xf numFmtId="0" fontId="53" fillId="0" borderId="218" xfId="18" applyFont="1" applyBorder="1" applyAlignment="1">
      <x:alignment horizontal="center" vertical="center" shrinkToFit="1"/>
    </x:xf>
    <x:xf numFmtId="41" fontId="55" fillId="0" borderId="223" xfId="18" applyNumberFormat="1" applyFont="1" applyBorder="1" applyAlignment="1">
      <x:alignment horizontal="center" vertical="center" shrinkToFit="1"/>
    </x:xf>
    <x:xf numFmtId="0" fontId="53" fillId="0" borderId="194" xfId="18" applyFont="1" applyBorder="1" applyAlignment="1">
      <x:alignment vertical="center"/>
    </x:xf>
    <x:xf numFmtId="192" fontId="53" fillId="0" borderId="194" xfId="18" applyNumberFormat="1" applyFont="1" applyBorder="1" applyAlignment="1">
      <x:alignment horizontal="center" vertical="center" shrinkToFit="1"/>
    </x:xf>
    <x:xf numFmtId="0" fontId="53" fillId="0" borderId="194" xfId="18" applyFont="1" applyBorder="1" applyAlignment="1">
      <x:alignment horizontal="center" vertical="center" shrinkToFit="1"/>
    </x:xf>
    <x:xf numFmtId="41" fontId="53" fillId="7" borderId="194" xfId="19" applyFont="1" applyFill="1" applyBorder="1" applyAlignment="1">
      <x:alignment vertical="center"/>
    </x:xf>
    <x:xf numFmtId="193" fontId="53" fillId="0" borderId="217" xfId="19" applyNumberFormat="1" applyFont="1" applyFill="1" applyBorder="1" applyAlignment="1">
      <x:alignment vertical="center"/>
    </x:xf>
    <x:xf numFmtId="193" fontId="53" fillId="0" borderId="219" xfId="19" applyNumberFormat="1" applyFont="1" applyFill="1" applyBorder="1" applyAlignment="1">
      <x:alignment vertical="center"/>
    </x:xf>
    <x:xf numFmtId="193" fontId="53" fillId="0" borderId="220" xfId="19" applyNumberFormat="1" applyFont="1" applyFill="1" applyBorder="1" applyAlignment="1">
      <x:alignment vertical="center"/>
    </x:xf>
    <x:xf numFmtId="193" fontId="53" fillId="0" borderId="194" xfId="19" applyNumberFormat="1" applyFont="1" applyFill="1" applyBorder="1" applyAlignment="1">
      <x:alignment vertical="center"/>
    </x:xf>
    <x:xf numFmtId="176" fontId="53" fillId="0" borderId="219" xfId="19" applyNumberFormat="1" applyFont="1" applyFill="1" applyBorder="1" applyAlignment="1">
      <x:alignment vertical="center"/>
    </x:xf>
    <x:xf numFmtId="176" fontId="53" fillId="0" borderId="220" xfId="19" applyNumberFormat="1" applyFont="1" applyFill="1" applyBorder="1" applyAlignment="1">
      <x:alignment vertical="center"/>
    </x:xf>
    <x:xf numFmtId="213" fontId="47" fillId="0" borderId="194" xfId="18" applyNumberFormat="1" applyFont="1" applyBorder="1" applyAlignment="1">
      <x:alignment vertical="center"/>
    </x:xf>
    <x:xf numFmtId="195" fontId="53" fillId="0" borderId="219" xfId="19" applyNumberFormat="1" applyFont="1" applyFill="1" applyBorder="1" applyAlignment="1">
      <x:alignment vertical="center"/>
    </x:xf>
    <x:xf numFmtId="0" fontId="162" fillId="55" borderId="216" xfId="18" applyFont="1" applyFill="1" applyBorder="1" applyAlignment="1">
      <x:alignment horizontal="center" vertical="center"/>
    </x:xf>
    <x:xf numFmtId="214" fontId="47" fillId="0" borderId="0" xfId="1" applyNumberFormat="1" applyFont="1" applyAlignment="1">
      <x:alignment vertical="center"/>
    </x:xf>
    <x:xf numFmtId="41" fontId="6" fillId="0" borderId="0" xfId="1" applyFont="1" applyAlignment="1"/>
    <x:xf numFmtId="41" fontId="47" fillId="0" borderId="0" xfId="18" applyNumberFormat="1" applyFont="1" applyAlignment="1">
      <x:alignment vertical="center"/>
    </x:xf>
    <x:xf numFmtId="215" fontId="1" fillId="0" borderId="0" xfId="22" applyNumberFormat="1">
      <x:alignment vertical="center"/>
    </x:xf>
    <x:xf numFmtId="41" fontId="1" fillId="0" borderId="0" xfId="22" applyNumberFormat="1">
      <x:alignment vertical="center"/>
    </x:xf>
    <x:xf numFmtId="176" fontId="47" fillId="56" borderId="126" xfId="19" applyNumberFormat="1" applyFont="1" applyFill="1" applyBorder="1" applyAlignment="1">
      <x:alignment vertical="center"/>
    </x:xf>
    <x:xf numFmtId="176" fontId="47" fillId="56" borderId="23" xfId="19" applyNumberFormat="1" applyFont="1" applyFill="1" applyBorder="1" applyAlignment="1">
      <x:alignment vertical="center"/>
    </x:xf>
    <x:xf numFmtId="176" fontId="47" fillId="56" borderId="127" xfId="19" applyNumberFormat="1" applyFont="1" applyFill="1" applyBorder="1" applyAlignment="1">
      <x:alignment vertical="center"/>
    </x:xf>
    <x:xf numFmtId="9" fontId="47" fillId="0" borderId="93" xfId="2" applyFont="1" applyBorder="1" applyAlignment="1">
      <x:alignment horizontal="left" vertical="center" shrinkToFit="1"/>
    </x:xf>
    <x:xf numFmtId="9" fontId="47" fillId="0" borderId="93" xfId="18" applyNumberFormat="1" applyFont="1" applyBorder="1" applyAlignment="1">
      <x:alignment horizontal="left" vertical="center" shrinkToFit="1"/>
    </x:xf>
    <x:xf numFmtId="9" fontId="47" fillId="0" borderId="86" xfId="2" applyFont="1" applyBorder="1" applyAlignment="1">
      <x:alignment horizontal="left" vertical="center" shrinkToFit="1"/>
    </x:xf>
    <x:xf numFmtId="193" fontId="53" fillId="56" borderId="217" xfId="19" applyNumberFormat="1" applyFont="1" applyFill="1" applyBorder="1" applyAlignment="1">
      <x:alignment vertical="center"/>
    </x:xf>
    <x:xf numFmtId="193" fontId="53" fillId="56" borderId="216" xfId="19" applyNumberFormat="1" applyFont="1" applyFill="1" applyBorder="1" applyAlignment="1">
      <x:alignment vertical="center"/>
    </x:xf>
    <x:xf numFmtId="193" fontId="53" fillId="56" borderId="194" xfId="19" applyNumberFormat="1" applyFont="1" applyFill="1" applyBorder="1" applyAlignment="1">
      <x:alignment vertical="center"/>
    </x:xf>
    <x:xf numFmtId="193" fontId="53" fillId="6" borderId="124" xfId="19" applyNumberFormat="1" applyFont="1" applyFill="1" applyBorder="1" applyAlignment="1">
      <x:alignment vertical="center"/>
    </x:xf>
    <x:xf numFmtId="193" fontId="53" fillId="6" borderId="4" xfId="19" applyNumberFormat="1" applyFont="1" applyFill="1" applyBorder="1" applyAlignment="1">
      <x:alignment vertical="center"/>
    </x:xf>
    <x:xf numFmtId="193" fontId="53" fillId="56" borderId="124" xfId="19" applyNumberFormat="1" applyFont="1" applyFill="1" applyBorder="1" applyAlignment="1">
      <x:alignment vertical="center"/>
    </x:xf>
    <x:xf numFmtId="0" fontId="50" fillId="23" borderId="81" xfId="18" applyFont="1" applyFill="1" applyBorder="1" applyAlignment="1">
      <x:alignment horizontal="center" vertical="center" shrinkToFit="1"/>
    </x:xf>
    <x:xf numFmtId="41" fontId="50" fillId="23" borderId="97" xfId="18" applyNumberFormat="1" applyFont="1" applyFill="1" applyBorder="1" applyAlignment="1">
      <x:alignment horizontal="center" vertical="center" shrinkToFit="1"/>
    </x:xf>
    <x:xf numFmtId="0" fontId="50" fillId="23" borderId="97" xfId="18" applyFont="1" applyFill="1" applyBorder="1" applyAlignment="1">
      <x:alignment horizontal="center" vertical="center" shrinkToFit="1"/>
    </x:xf>
    <x:xf numFmtId="193" fontId="53" fillId="18" borderId="127" xfId="19" applyNumberFormat="1" applyFont="1" applyFill="1" applyBorder="1" applyAlignment="1">
      <x:alignment vertical="center"/>
    </x:xf>
    <x:xf numFmtId="0" fontId="1" fillId="18" borderId="0" xfId="22" applyFill="1" applyAlignment="1">
      <x:alignment horizontal="center" vertical="center"/>
    </x:xf>
    <x:xf numFmtId="43" fontId="1" fillId="18" borderId="0" xfId="22" applyNumberFormat="1" applyFill="1">
      <x:alignment vertical="center"/>
    </x:xf>
    <x:xf numFmtId="0" fontId="6" fillId="18" borderId="0" xfId="17" applyFill="1" applyAlignment="1">
      <x:alignment vertical="center"/>
    </x:xf>
    <x:xf numFmtId="9" fontId="47" fillId="18" borderId="0" xfId="17" applyNumberFormat="1" applyFont="1" applyFill="1" applyAlignment="1">
      <x:alignment vertical="center"/>
    </x:xf>
    <x:xf numFmtId="196" fontId="47" fillId="9" borderId="81" xfId="18" applyNumberFormat="1" applyFont="1" applyFill="1" applyBorder="1" applyAlignment="1">
      <x:alignment horizontal="center" vertical="center" shrinkToFit="1"/>
    </x:xf>
    <x:xf numFmtId="196" fontId="50" fillId="9" borderId="81" xfId="18" applyNumberFormat="1" applyFont="1" applyFill="1" applyBorder="1" applyAlignment="1">
      <x:alignment horizontal="center" vertical="center" shrinkToFit="1"/>
    </x:xf>
    <x:xf numFmtId="196" fontId="50" fillId="9" borderId="97" xfId="18" applyNumberFormat="1" applyFont="1" applyFill="1" applyBorder="1" applyAlignment="1">
      <x:alignment horizontal="center" vertical="center" shrinkToFit="1"/>
    </x:xf>
    <x:xf numFmtId="196" fontId="53" fillId="9" borderId="127" xfId="19" applyNumberFormat="1" applyFont="1" applyFill="1" applyBorder="1" applyAlignment="1">
      <x:alignment vertical="center"/>
    </x:xf>
    <x:xf numFmtId="179" fontId="47" fillId="6" borderId="81" xfId="1" applyNumberFormat="1" applyFont="1" applyFill="1" applyBorder="1" applyAlignment="1">
      <x:alignment vertical="center" shrinkToFit="1"/>
    </x:xf>
    <x:xf numFmtId="179" fontId="53" fillId="0" borderId="88" xfId="1" applyNumberFormat="1" applyFont="1" applyFill="1" applyBorder="1" applyAlignment="1">
      <x:alignment vertical="center"/>
    </x:xf>
    <x:xf numFmtId="179" fontId="53" fillId="0" borderId="89" xfId="1" applyNumberFormat="1" applyFont="1" applyFill="1" applyBorder="1" applyAlignment="1">
      <x:alignment vertical="center"/>
    </x:xf>
    <x:xf numFmtId="176" fontId="47" fillId="9" borderId="126" xfId="19" applyNumberFormat="1" applyFont="1" applyFill="1" applyBorder="1" applyAlignment="1">
      <x:alignment vertical="center"/>
    </x:xf>
    <x:xf numFmtId="176" fontId="47" fillId="9" borderId="127" xfId="19" applyNumberFormat="1" applyFont="1" applyFill="1" applyBorder="1" applyAlignment="1">
      <x:alignment vertical="center"/>
    </x:xf>
    <x:xf numFmtId="176" fontId="53" fillId="9" borderId="122" xfId="19" applyNumberFormat="1" applyFont="1" applyFill="1" applyBorder="1" applyAlignment="1">
      <x:alignment vertical="center"/>
    </x:xf>
    <x:xf numFmtId="176" fontId="47" fillId="54" borderId="126" xfId="19" applyNumberFormat="1" applyFont="1" applyFill="1" applyBorder="1" applyAlignment="1">
      <x:alignment vertical="center"/>
    </x:xf>
    <x:xf numFmtId="43" fontId="6" fillId="0" borderId="0" xfId="17" applyNumberFormat="1" applyAlignment="1">
      <x:alignment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41" fontId="4" fillId="0" borderId="2" xfId="1" applyFont="1" applyBorder="1" applyAlignment="1">
      <x:alignment horizontal="center" vertical="center" wrapText="1"/>
    </x:xf>
    <x:xf numFmtId="41" fontId="4" fillId="0" borderId="3" xfId="1" applyFont="1" applyBorder="1" applyAlignment="1">
      <x:alignment horizontal="center" vertical="center" wrapText="1"/>
    </x:xf>
    <x:xf numFmtId="41" fontId="4" fillId="0" borderId="4" xfId="1" applyFont="1" applyBorder="1" applyAlignment="1">
      <x:alignment horizontal="center" vertical="center" wrapText="1"/>
    </x:xf>
    <x:xf numFmtId="41" fontId="4" fillId="0" borderId="1" xfId="1" applyFont="1" applyBorder="1" applyAlignment="1">
      <x:alignment horizontal="center" vertical="center" wrapText="1"/>
    </x:xf>
    <x:xf numFmtId="41" fontId="4" fillId="0" borderId="1" xfId="1" applyFont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56" fillId="18" borderId="125" xfId="22" applyFont="1" applyFill="1" applyBorder="1" applyAlignment="1">
      <x:alignment horizontal="center" vertical="center"/>
    </x:xf>
    <x:xf numFmtId="0" fontId="56" fillId="18" borderId="19" xfId="22" applyFont="1" applyFill="1" applyBorder="1" applyAlignment="1">
      <x:alignment horizontal="center" vertical="center"/>
    </x:xf>
    <x:xf numFmtId="0" fontId="56" fillId="18" borderId="126" xfId="22" applyFont="1" applyFill="1" applyBorder="1" applyAlignment="1">
      <x:alignment horizontal="center" vertical="center"/>
    </x:xf>
    <x:xf numFmtId="0" fontId="56" fillId="7" borderId="122" xfId="22" applyFont="1" applyFill="1" applyBorder="1" applyAlignment="1">
      <x:alignment horizontal="center" vertical="center" shrinkToFit="1"/>
    </x:xf>
    <x:xf numFmtId="0" fontId="56" fillId="7" borderId="3" xfId="22" applyFont="1" applyFill="1" applyBorder="1" applyAlignment="1">
      <x:alignment horizontal="center" vertical="center" shrinkToFit="1"/>
    </x:xf>
    <x:xf numFmtId="0" fontId="50" fillId="6" borderId="46" xfId="18" applyFont="1" applyFill="1" applyBorder="1" applyAlignment="1">
      <x:alignment horizontal="center" vertical="top"/>
    </x:xf>
    <x:xf numFmtId="0" fontId="50" fillId="6" borderId="38" xfId="18" applyFont="1" applyFill="1" applyBorder="1" applyAlignment="1">
      <x:alignment horizontal="center" vertical="top"/>
    </x:xf>
    <x:xf numFmtId="0" fontId="58" fillId="7" borderId="122" xfId="22" applyFont="1" applyFill="1" applyBorder="1" applyAlignment="1">
      <x:alignment horizontal="center" vertical="center"/>
    </x:xf>
    <x:xf numFmtId="0" fontId="58" fillId="7" borderId="4" xfId="22" applyFont="1" applyFill="1" applyBorder="1" applyAlignment="1">
      <x:alignment horizontal="center" vertical="center"/>
    </x:xf>
    <x:xf numFmtId="0" fontId="56" fillId="7" borderId="4" xfId="22" applyFont="1" applyFill="1" applyBorder="1" applyAlignment="1">
      <x:alignment horizontal="center" vertical="center" shrinkToFit="1"/>
    </x:xf>
    <x:xf numFmtId="0" fontId="50" fillId="6" borderId="98" xfId="18" applyFont="1" applyFill="1" applyBorder="1" applyAlignment="1">
      <x:alignment horizontal="center" vertical="top"/>
    </x:xf>
    <x:xf numFmtId="0" fontId="58" fillId="7" borderId="3" xfId="22" applyFont="1" applyFill="1" applyBorder="1" applyAlignment="1">
      <x:alignment horizontal="center" vertical="center"/>
    </x:xf>
    <x:xf numFmtId="0" fontId="56" fillId="7" borderId="122" xfId="22" applyFont="1" applyFill="1" applyBorder="1" applyAlignment="1">
      <x:alignment horizontal="center" vertical="center"/>
    </x:xf>
    <x:xf numFmtId="0" fontId="56" fillId="7" borderId="3" xfId="22" applyFont="1" applyFill="1" applyBorder="1" applyAlignment="1">
      <x:alignment horizontal="center" vertical="center"/>
    </x:xf>
    <x:xf numFmtId="0" fontId="59" fillId="7" borderId="125" xfId="22" applyFont="1" applyFill="1" applyBorder="1" applyAlignment="1">
      <x:alignment horizontal="center" vertical="center"/>
    </x:xf>
    <x:xf numFmtId="0" fontId="59" fillId="7" borderId="19" xfId="22" applyFont="1" applyFill="1" applyBorder="1" applyAlignment="1">
      <x:alignment horizontal="center" vertical="center"/>
    </x:xf>
    <x:xf numFmtId="0" fontId="59" fillId="7" borderId="126" xfId="22" applyFont="1" applyFill="1" applyBorder="1" applyAlignment="1">
      <x:alignment horizontal="center" vertical="center"/>
    </x:xf>
    <x:xf numFmtId="0" fontId="58" fillId="7" borderId="122" xfId="22" applyFont="1" applyFill="1" applyBorder="1" applyAlignment="1">
      <x:alignment horizontal="center" vertical="center" shrinkToFit="1"/>
    </x:xf>
    <x:xf numFmtId="0" fontId="58" fillId="7" borderId="3" xfId="22" applyFont="1" applyFill="1" applyBorder="1" applyAlignment="1">
      <x:alignment horizontal="center" vertical="center" shrinkToFit="1"/>
    </x:xf>
    <x:xf numFmtId="0" fontId="56" fillId="7" borderId="4" xfId="22" applyFont="1" applyFill="1" applyBorder="1" applyAlignment="1">
      <x:alignment horizontal="center" vertical="center"/>
    </x:xf>
    <x:xf numFmtId="0" fontId="58" fillId="7" borderId="4" xfId="22" applyFont="1" applyFill="1" applyBorder="1" applyAlignment="1">
      <x:alignment horizontal="center" vertical="center" shrinkToFit="1"/>
    </x:xf>
    <x:xf numFmtId="0" fontId="58" fillId="7" borderId="127" xfId="22" applyFont="1" applyFill="1" applyBorder="1" applyAlignment="1">
      <x:alignment horizontal="center" vertical="center"/>
    </x:xf>
    <x:xf numFmtId="0" fontId="56" fillId="18" borderId="127" xfId="22" applyFont="1" applyFill="1" applyBorder="1" applyAlignment="1">
      <x:alignment horizontal="center" vertical="center"/>
    </x:xf>
    <x:xf numFmtId="0" fontId="56" fillId="7" borderId="127" xfId="22" applyFont="1" applyFill="1" applyBorder="1" applyAlignment="1">
      <x:alignment horizontal="center" vertical="center" shrinkToFit="1"/>
    </x:xf>
    <x:xf numFmtId="0" fontId="50" fillId="6" borderId="55" xfId="18" applyFont="1" applyFill="1" applyBorder="1" applyAlignment="1">
      <x:alignment horizontal="center" vertical="top"/>
    </x:xf>
    <x:xf numFmtId="0" fontId="1" fillId="9" borderId="107" xfId="22" applyFill="1" applyBorder="1" applyAlignment="1">
      <x:alignment horizontal="center" vertical="center"/>
    </x:xf>
    <x:xf numFmtId="0" fontId="1" fillId="9" borderId="122" xfId="22" applyFill="1" applyBorder="1" applyAlignment="1">
      <x:alignment horizontal="center" vertical="center"/>
    </x:xf>
    <x:xf numFmtId="0" fontId="56" fillId="7" borderId="127" xfId="22" applyFont="1" applyFill="1" applyBorder="1" applyAlignment="1">
      <x:alignment horizontal="center" vertical="center"/>
    </x:xf>
    <x:xf numFmtId="0" fontId="59" fillId="7" borderId="127" xfId="22" applyFont="1" applyFill="1" applyBorder="1" applyAlignment="1">
      <x:alignment horizontal="center" vertical="center"/>
    </x:xf>
    <x:xf numFmtId="0" fontId="58" fillId="7" borderId="127" xfId="22" applyFont="1" applyFill="1" applyBorder="1" applyAlignment="1">
      <x:alignment horizontal="center" vertical="center" shrinkToFit="1"/>
    </x:xf>
    <x:xf numFmtId="0" fontId="49" fillId="7" borderId="66" xfId="18" applyFont="1" applyFill="1" applyBorder="1" applyAlignment="1">
      <x:alignment horizontal="center" vertical="center"/>
    </x:xf>
    <x:xf numFmtId="0" fontId="49" fillId="7" borderId="79" xfId="18" applyFont="1" applyFill="1" applyBorder="1" applyAlignment="1">
      <x:alignment horizontal="center" vertical="center"/>
    </x:xf>
    <x:xf numFmtId="0" fontId="47" fillId="18" borderId="73" xfId="18" applyFont="1" applyFill="1" applyBorder="1" applyAlignment="1">
      <x:alignment horizontal="center" vertical="center"/>
    </x:xf>
    <x:xf numFmtId="0" fontId="47" fillId="18" borderId="69" xfId="18" applyFont="1" applyFill="1" applyBorder="1" applyAlignment="1">
      <x:alignment horizontal="center" vertical="center"/>
    </x:xf>
    <x:xf numFmtId="0" fontId="47" fillId="18" borderId="74" xfId="18" applyFont="1" applyFill="1" applyBorder="1" applyAlignment="1">
      <x:alignment horizontal="center" vertical="center"/>
    </x:xf>
    <x:xf numFmtId="0" fontId="47" fillId="7" borderId="66" xfId="18" applyFont="1" applyFill="1" applyBorder="1" applyAlignment="1">
      <x:alignment horizontal="center" vertical="center" shrinkToFit="1"/>
    </x:xf>
    <x:xf numFmtId="0" fontId="47" fillId="7" borderId="79" xfId="18" applyFont="1" applyFill="1" applyBorder="1" applyAlignment="1">
      <x:alignment horizontal="center" vertical="center" shrinkToFit="1"/>
    </x:xf>
    <x:xf numFmtId="0" fontId="47" fillId="7" borderId="66" xfId="18" applyFont="1" applyFill="1" applyBorder="1" applyAlignment="1">
      <x:alignment horizontal="center" vertical="center"/>
    </x:xf>
    <x:xf numFmtId="0" fontId="47" fillId="7" borderId="75" xfId="18" applyFont="1" applyFill="1" applyBorder="1" applyAlignment="1">
      <x:alignment horizontal="center" vertical="center"/>
    </x:xf>
    <x:xf numFmtId="0" fontId="49" fillId="7" borderId="67" xfId="18" applyFont="1" applyFill="1" applyBorder="1" applyAlignment="1">
      <x:alignment horizontal="center" vertical="center"/>
    </x:xf>
    <x:xf numFmtId="0" fontId="49" fillId="7" borderId="76" xfId="18" applyFont="1" applyFill="1" applyBorder="1" applyAlignment="1">
      <x:alignment horizontal="center" vertical="center"/>
    </x:xf>
    <x:xf numFmtId="0" fontId="50" fillId="7" borderId="68" xfId="18" applyFont="1" applyFill="1" applyBorder="1" applyAlignment="1">
      <x:alignment horizontal="center" vertical="center"/>
    </x:xf>
    <x:xf numFmtId="0" fontId="50" fillId="7" borderId="69" xfId="18" applyFont="1" applyFill="1" applyBorder="1" applyAlignment="1">
      <x:alignment horizontal="center" vertical="center"/>
    </x:xf>
    <x:xf numFmtId="0" fontId="50" fillId="7" borderId="70" xfId="18" applyFont="1" applyFill="1" applyBorder="1" applyAlignment="1">
      <x:alignment horizontal="center" vertical="center"/>
    </x:xf>
    <x:xf numFmtId="0" fontId="49" fillId="7" borderId="71" xfId="18" applyFont="1" applyFill="1" applyBorder="1" applyAlignment="1">
      <x:alignment horizontal="center" vertical="center"/>
    </x:xf>
    <x:xf numFmtId="0" fontId="49" fillId="7" borderId="77" xfId="18" applyFont="1" applyFill="1" applyBorder="1" applyAlignment="1">
      <x:alignment horizontal="center" vertical="center"/>
    </x:xf>
    <x:xf numFmtId="0" fontId="49" fillId="7" borderId="72" xfId="18" applyFont="1" applyFill="1" applyBorder="1" applyAlignment="1">
      <x:alignment horizontal="center" vertical="center"/>
    </x:xf>
    <x:xf numFmtId="0" fontId="49" fillId="7" borderId="78" xfId="18" applyFont="1" applyFill="1" applyBorder="1" applyAlignment="1">
      <x:alignment horizontal="center" vertical="center"/>
    </x:xf>
    <x:xf numFmtId="0" fontId="49" fillId="7" borderId="75" xfId="18" applyFont="1" applyFill="1" applyBorder="1" applyAlignment="1">
      <x:alignment horizontal="center" vertical="center"/>
    </x:xf>
    <x:xf numFmtId="0" fontId="71" fillId="0" borderId="1" xfId="0" applyFont="1" applyBorder="1" applyAlignment="1">
      <x:alignment horizontal="center" vertical="center"/>
    </x:xf>
    <x:xf numFmtId="0" fontId="71" fillId="0" borderId="1" xfId="0" applyFont="1" applyBorder="1" applyAlignment="1">
      <x:alignment horizontal="center" vertical="center" textRotation="45" wrapText="1"/>
    </x:xf>
    <x:xf numFmtId="0" fontId="71" fillId="12" borderId="1" xfId="0" applyFont="1" applyFill="1" applyBorder="1" applyAlignment="1">
      <x:alignment horizontal="center" vertical="center"/>
    </x:xf>
    <x:xf numFmtId="2" fontId="65" fillId="0" borderId="1" xfId="0" applyNumberFormat="1" applyFont="1" applyBorder="1" applyAlignment="1">
      <x:alignment horizontal="center" vertical="center"/>
    </x:xf>
    <x:xf numFmtId="2" fontId="4" fillId="0" borderId="1" xfId="0" applyNumberFormat="1" applyFont="1" applyBorder="1" applyAlignment="1">
      <x:alignment horizontal="center" vertical="center"/>
    </x:xf>
    <x:xf numFmtId="0" fontId="65" fillId="0" borderId="1" xfId="0" applyFont="1" applyBorder="1" applyAlignment="1">
      <x:alignment horizontal="center" vertical="center"/>
    </x:xf>
    <x:xf numFmtId="0" fontId="65" fillId="6" borderId="1" xfId="0" applyFont="1" applyFill="1" applyBorder="1" applyAlignment="1">
      <x:alignment horizontal="center" vertical="center"/>
    </x:xf>
    <x:xf numFmtId="181" fontId="134" fillId="12" borderId="2" xfId="26" applyNumberFormat="1" applyFont="1" applyFill="1" applyBorder="1" applyAlignment="1">
      <x:alignment horizontal="center" vertical="center"/>
    </x:xf>
    <x:xf numFmtId="181" fontId="134" fillId="12" borderId="4" xfId="26" applyNumberFormat="1" applyFont="1" applyFill="1" applyBorder="1" applyAlignment="1">
      <x:alignment horizontal="center" vertical="center"/>
    </x:xf>
    <x:xf numFmtId="0" fontId="4" fillId="6" borderId="1" xfId="0" applyFont="1" applyFill="1" applyBorder="1" applyAlignment="1">
      <x:alignment horizontal="center" vertical="center"/>
    </x:xf>
    <x:xf numFmtId="186" fontId="13" fillId="6" borderId="2" xfId="0" applyNumberFormat="1" applyFont="1" applyFill="1" applyBorder="1" applyAlignment="1">
      <x:alignment horizontal="center" vertical="center"/>
    </x:xf>
    <x:xf numFmtId="186" fontId="13" fillId="6" borderId="4" xfId="0" applyNumberFormat="1" applyFont="1" applyFill="1" applyBorder="1" applyAlignment="1">
      <x:alignment horizontal="center" vertical="center"/>
    </x:xf>
    <x:xf numFmtId="0" fontId="71" fillId="0" borderId="127" xfId="0" applyFont="1" applyBorder="1" applyAlignment="1">
      <x:alignment horizontal="center" vertical="center"/>
    </x:xf>
    <x:xf numFmtId="181" fontId="95" fillId="6" borderId="5" xfId="26" applyNumberFormat="1" applyFont="1" applyFill="1" applyBorder="1" applyAlignment="1">
      <x:alignment horizontal="center" vertical="center"/>
    </x:xf>
    <x:xf numFmtId="181" fontId="95" fillId="6" borderId="3" xfId="26" applyNumberFormat="1" applyFont="1" applyFill="1" applyBorder="1" applyAlignment="1">
      <x:alignment horizontal="center" vertical="center"/>
    </x:xf>
    <x:xf numFmtId="181" fontId="95" fillId="6" borderId="56" xfId="26" applyNumberFormat="1" applyFont="1" applyFill="1" applyBorder="1" applyAlignment="1">
      <x:alignment horizontal="center" vertical="center"/>
    </x:xf>
    <x:xf numFmtId="181" fontId="95" fillId="12" borderId="208" xfId="26" applyNumberFormat="1" applyFont="1" applyFill="1" applyBorder="1" applyAlignment="1">
      <x:alignment horizontal="center" vertical="center"/>
    </x:xf>
    <x:xf numFmtId="181" fontId="95" fillId="12" borderId="41" xfId="26" applyNumberFormat="1" applyFont="1" applyFill="1" applyBorder="1" applyAlignment="1">
      <x:alignment horizontal="center" vertical="center"/>
    </x:xf>
    <x:xf numFmtId="181" fontId="95" fillId="12" borderId="212" xfId="26" applyNumberFormat="1" applyFont="1" applyFill="1" applyBorder="1" applyAlignment="1">
      <x:alignment horizontal="center" vertical="center"/>
    </x:xf>
    <x:xf numFmtId="0" fontId="11" fillId="0" borderId="4" xfId="15" applyFont="1" applyBorder="1" applyAlignment="1">
      <x:alignment horizontal="center" vertical="center" wrapText="1"/>
    </x:xf>
    <x:xf numFmtId="0" fontId="6" fillId="0" borderId="53" xfId="15" applyBorder="1" applyAlignment="1">
      <x:alignment horizontal="center" vertical="center" wrapText="1"/>
    </x:xf>
    <x:xf numFmtId="0" fontId="6" fillId="0" borderId="54" xfId="15" applyBorder="1" applyAlignment="1">
      <x:alignment horizontal="center" vertical="center" wrapText="1"/>
    </x:xf>
    <x:xf numFmtId="0" fontId="6" fillId="0" borderId="0" xfId="15" applyAlignment="1">
      <x:alignment horizontal="center" vertical="center" wrapText="1"/>
    </x:xf>
    <x:xf numFmtId="0" fontId="6" fillId="0" borderId="26" xfId="15" applyBorder="1" applyAlignment="1">
      <x:alignment horizontal="center"/>
    </x:xf>
    <x:xf numFmtId="0" fontId="6" fillId="0" borderId="27" xfId="15" applyBorder="1" applyAlignment="1">
      <x:alignment horizontal="center"/>
    </x:xf>
    <x:xf numFmtId="0" fontId="6" fillId="0" borderId="28" xfId="15" applyBorder="1" applyAlignment="1">
      <x:alignment horizontal="center"/>
    </x:xf>
    <x:xf numFmtId="0" fontId="6" fillId="0" borderId="31" xfId="15" applyBorder="1" applyAlignment="1">
      <x:alignment horizontal="center"/>
    </x:xf>
    <x:xf numFmtId="0" fontId="6" fillId="0" borderId="0" xfId="15" applyAlignment="1">
      <x:alignment horizontal="center"/>
    </x:xf>
    <x:xf numFmtId="0" fontId="6" fillId="0" borderId="24" xfId="15" applyBorder="1" applyAlignment="1">
      <x:alignment horizontal="center"/>
    </x:xf>
    <x:xf numFmtId="0" fontId="6" fillId="0" borderId="33" xfId="15" applyBorder="1" applyAlignment="1">
      <x:alignment horizontal="center"/>
    </x:xf>
    <x:xf numFmtId="0" fontId="6" fillId="0" borderId="34" xfId="15" applyBorder="1" applyAlignment="1">
      <x:alignment horizontal="center"/>
    </x:xf>
    <x:xf numFmtId="0" fontId="6" fillId="0" borderId="25" xfId="15" applyBorder="1" applyAlignment="1">
      <x:alignment horizontal="center"/>
    </x:xf>
    <x:xf numFmtId="0" fontId="38" fillId="0" borderId="29" xfId="15" quotePrefix="1" applyFont="1" applyBorder="1" applyAlignment="1">
      <x:alignment horizontal="center" vertical="center" wrapText="1"/>
    </x:xf>
    <x:xf numFmtId="0" fontId="38" fillId="0" borderId="29" xfId="15" applyFont="1" applyBorder="1" applyAlignment="1">
      <x:alignment horizontal="center" vertical="center" wrapText="1"/>
    </x:xf>
    <x:xf numFmtId="0" fontId="38" fillId="0" borderId="30" xfId="15" applyFont="1" applyBorder="1" applyAlignment="1">
      <x:alignment horizontal="center" vertical="center" wrapText="1"/>
    </x:xf>
    <x:xf numFmtId="0" fontId="38" fillId="0" borderId="1" xfId="15" applyFont="1" applyBorder="1" applyAlignment="1">
      <x:alignment horizontal="center" vertical="center" wrapText="1"/>
    </x:xf>
    <x:xf numFmtId="0" fontId="38" fillId="0" borderId="32" xfId="15" applyFont="1" applyBorder="1" applyAlignment="1">
      <x:alignment horizontal="center" vertical="center" wrapText="1"/>
    </x:xf>
    <x:xf numFmtId="0" fontId="7" fillId="12" borderId="35" xfId="15" applyFont="1" applyFill="1" applyBorder="1" applyAlignment="1">
      <x:alignment horizontal="center" vertical="center" wrapText="1"/>
    </x:xf>
    <x:xf numFmtId="0" fontId="7" fillId="12" borderId="1" xfId="15" applyFont="1" applyFill="1" applyBorder="1" applyAlignment="1">
      <x:alignment horizontal="center" vertical="center" wrapText="1"/>
    </x:xf>
    <x:xf numFmtId="0" fontId="7" fillId="0" borderId="1" xfId="15" applyFont="1" applyBorder="1" applyAlignment="1">
      <x:alignment horizontal="center" vertical="center" wrapText="1"/>
    </x:xf>
    <x:xf numFmtId="0" fontId="7" fillId="0" borderId="99" xfId="15" applyFont="1" applyBorder="1" applyAlignment="1">
      <x:alignment horizontal="center" vertical="center" wrapText="1"/>
    </x:xf>
    <x:xf numFmtId="0" fontId="7" fillId="0" borderId="42" xfId="15" applyFont="1" applyBorder="1" applyAlignment="1">
      <x:alignment horizontal="center" vertical="center" wrapText="1"/>
    </x:xf>
    <x:xf numFmtId="0" fontId="7" fillId="0" borderId="44" xfId="15" applyFont="1" applyBorder="1" applyAlignment="1">
      <x:alignment horizontal="center" vertical="center" wrapText="1"/>
    </x:xf>
    <x:xf numFmtId="0" fontId="7" fillId="0" borderId="45" xfId="15" applyFont="1" applyBorder="1" applyAlignment="1">
      <x:alignment horizontal="center" vertical="center" wrapText="1"/>
    </x:xf>
    <x:xf numFmtId="0" fontId="149" fillId="0" borderId="35" xfId="15" applyFont="1" applyBorder="1" applyAlignment="1">
      <x:alignment horizontal="center" vertical="center" wrapText="1"/>
    </x:xf>
    <x:xf numFmtId="0" fontId="149" fillId="0" borderId="46" xfId="15" applyFont="1" applyBorder="1" applyAlignment="1">
      <x:alignment horizontal="center" vertical="center" wrapText="1"/>
    </x:xf>
    <x:xf numFmtId="0" fontId="11" fillId="0" borderId="46" xfId="15" applyFont="1" applyBorder="1" applyAlignment="1">
      <x:alignment horizontal="center" vertical="center" wrapText="1"/>
    </x:xf>
    <x:xf numFmtId="0" fontId="11" fillId="0" borderId="38" xfId="15" applyFont="1" applyBorder="1" applyAlignment="1">
      <x:alignment horizontal="center" vertical="center" wrapText="1"/>
    </x:xf>
    <x:xf numFmtId="0" fontId="11" fillId="0" borderId="55" xfId="15" applyFont="1" applyBorder="1" applyAlignment="1">
      <x:alignment horizontal="center" vertical="center" wrapText="1"/>
    </x:xf>
    <x:xf numFmtId="0" fontId="7" fillId="0" borderId="50" xfId="15" applyFont="1" applyBorder="1" applyAlignment="1">
      <x:alignment horizontal="center" vertical="center" wrapText="1"/>
    </x:xf>
    <x:xf numFmtId="0" fontId="7" fillId="0" borderId="40" xfId="15" applyFont="1" applyBorder="1" applyAlignment="1">
      <x:alignment horizontal="center" vertical="center" wrapText="1"/>
    </x:xf>
    <x:xf numFmtId="0" fontId="7" fillId="0" borderId="51" xfId="15" applyFont="1" applyBorder="1" applyAlignment="1">
      <x:alignment horizontal="center" vertical="center" wrapText="1"/>
    </x:xf>
    <x:xf numFmtId="0" fontId="6" fillId="12" borderId="1" xfId="15" applyFill="1" applyBorder="1" applyAlignment="1">
      <x:alignment horizontal="center"/>
    </x:xf>
    <x:xf numFmtId="0" fontId="11" fillId="0" borderId="1" xfId="15" applyFont="1" applyBorder="1" applyAlignment="1">
      <x:alignment horizontal="center" vertical="center" wrapText="1"/>
    </x:xf>
    <x:xf numFmtId="0" fontId="6" fillId="0" borderId="21" xfId="15" applyBorder="1" applyAlignment="1">
      <x:alignment horizontal="center" vertical="center" wrapText="1"/>
    </x:xf>
    <x:xf numFmtId="0" fontId="6" fillId="0" borderId="22" xfId="15" applyBorder="1" applyAlignment="1">
      <x:alignment horizontal="center" vertical="center" wrapText="1"/>
    </x:xf>
    <x:xf numFmtId="0" fontId="149" fillId="0" borderId="38" xfId="15" applyFont="1" applyBorder="1" applyAlignment="1">
      <x:alignment horizontal="center" vertical="center" wrapText="1"/>
    </x:xf>
    <x:xf numFmtId="0" fontId="149" fillId="0" borderId="55" xfId="15" applyFont="1" applyBorder="1" applyAlignment="1">
      <x:alignment horizontal="center" vertical="center" wrapText="1"/>
    </x:xf>
    <x:xf numFmtId="0" fontId="6" fillId="9" borderId="73" xfId="7" applyFont="1" applyFill="1" applyBorder="1" applyAlignment="1">
      <x:alignment horizontal="center" vertical="center"/>
    </x:xf>
    <x:xf numFmtId="0" fontId="6" fillId="9" borderId="69" xfId="7" applyFont="1" applyFill="1" applyBorder="1" applyAlignment="1">
      <x:alignment horizontal="center" vertical="center"/>
    </x:xf>
    <x:xf numFmtId="0" fontId="6" fillId="9" borderId="74" xfId="7" applyFont="1" applyFill="1" applyBorder="1" applyAlignment="1">
      <x:alignment horizontal="center" vertical="center"/>
    </x:xf>
    <x:xf numFmtId="0" fontId="6" fillId="9" borderId="114" xfId="7" applyFont="1" applyFill="1" applyBorder="1" applyAlignment="1">
      <x:alignment horizontal="center" vertical="center"/>
    </x:xf>
    <x:xf numFmtId="0" fontId="6" fillId="9" borderId="85" xfId="7" applyFont="1" applyFill="1" applyBorder="1" applyAlignment="1">
      <x:alignment horizontal="center" vertical="center"/>
    </x:xf>
    <x:xf numFmtId="0" fontId="6" fillId="9" borderId="115" xfId="7" applyFont="1" applyFill="1" applyBorder="1" applyAlignment="1">
      <x:alignment horizontal="center" vertical="center"/>
    </x:xf>
    <x:xf numFmtId="0" fontId="6" fillId="9" borderId="22" xfId="7" applyFont="1" applyFill="1" applyBorder="1" applyAlignment="1">
      <x:alignment horizontal="center" vertical="center"/>
    </x:xf>
    <x:xf numFmtId="0" fontId="6" fillId="9" borderId="21" xfId="7" applyFont="1" applyFill="1" applyBorder="1" applyAlignment="1">
      <x:alignment horizontal="center" vertical="center"/>
    </x:xf>
    <x:xf numFmtId="0" fontId="6" fillId="9" borderId="97" xfId="7" applyFont="1" applyFill="1" applyBorder="1" applyAlignment="1">
      <x:alignment horizontal="center" vertical="center"/>
    </x:xf>
    <x:xf numFmtId="0" fontId="4" fillId="12" borderId="147" xfId="15" applyFont="1" applyFill="1" applyBorder="1" applyAlignment="1">
      <x:alignment horizontal="center" vertical="center" wrapText="1"/>
    </x:xf>
    <x:xf numFmtId="0" fontId="4" fillId="12" borderId="145" xfId="15" applyFont="1" applyFill="1" applyBorder="1" applyAlignment="1">
      <x:alignment horizontal="center" vertical="center" wrapText="1"/>
    </x:xf>
    <x:xf numFmtId="0" fontId="4" fillId="12" borderId="146" xfId="15" applyFont="1" applyFill="1" applyBorder="1" applyAlignment="1">
      <x:alignment horizontal="center" vertical="center" wrapText="1"/>
    </x:xf>
    <x:xf numFmtId="0" fontId="4" fillId="12" borderId="43" xfId="15" applyFont="1" applyFill="1" applyBorder="1" applyAlignment="1">
      <x:alignment horizontal="center" vertical="center" wrapText="1"/>
    </x:xf>
    <x:xf numFmtId="0" fontId="4" fillId="12" borderId="29" xfId="15" applyFont="1" applyFill="1" applyBorder="1" applyAlignment="1">
      <x:alignment horizontal="center" vertical="center" wrapText="1"/>
    </x:xf>
    <x:xf numFmtId="0" fontId="4" fillId="12" borderId="36" xfId="15" applyFont="1" applyFill="1" applyBorder="1" applyAlignment="1">
      <x:alignment horizontal="center" vertical="center" wrapText="1"/>
    </x:xf>
    <x:xf numFmtId="0" fontId="4" fillId="12" borderId="37" xfId="15" applyFont="1" applyFill="1" applyBorder="1" applyAlignment="1">
      <x:alignment horizontal="center" vertical="center" wrapText="1"/>
    </x:xf>
    <x:xf numFmtId="0" fontId="4" fillId="12" borderId="29" xfId="3" applyFont="1" applyFill="1" applyBorder="1" applyAlignment="1">
      <x:alignment horizontal="center" vertical="center"/>
    </x:xf>
    <x:xf numFmtId="0" fontId="4" fillId="12" borderId="194" xfId="3" applyFont="1" applyFill="1" applyBorder="1" applyAlignment="1">
      <x:alignment horizontal="center" vertical="center"/>
    </x:xf>
    <x:xf numFmtId="0" fontId="32" fillId="12" borderId="37" xfId="3" applyFont="1" applyFill="1" applyBorder="1" applyAlignment="1">
      <x:alignment horizontal="center" vertical="center"/>
    </x:xf>
    <x:xf numFmtId="0" fontId="4" fillId="12" borderId="168" xfId="15" applyFont="1" applyFill="1" applyBorder="1" applyAlignment="1">
      <x:alignment horizontal="center" vertical="center" wrapText="1"/>
    </x:xf>
    <x:xf numFmtId="0" fontId="32" fillId="0" borderId="20" xfId="0" applyFont="1" applyBorder="1" applyAlignment="1">
      <x:alignment horizontal="center" vertical="center"/>
    </x:xf>
    <x:xf numFmtId="0" fontId="4" fillId="12" borderId="21" xfId="4" applyFont="1" applyFill="1" applyBorder="1" applyAlignment="1">
      <x:alignment horizontal="center" vertical="center"/>
    </x:xf>
    <x:xf numFmtId="0" fontId="4" fillId="12" borderId="22" xfId="4" applyFont="1" applyFill="1" applyBorder="1" applyAlignment="1">
      <x:alignment horizontal="center" vertical="center"/>
    </x:xf>
    <x:xf numFmtId="0" fontId="4" fillId="12" borderId="91" xfId="4" applyFont="1" applyFill="1" applyBorder="1" applyAlignment="1">
      <x:alignment horizontal="center" vertical="center"/>
    </x:xf>
    <x:xf numFmtId="0" fontId="4" fillId="12" borderId="25" xfId="4" applyFont="1" applyFill="1" applyBorder="1" applyAlignment="1">
      <x:alignment horizontal="center" vertical="center"/>
    </x:xf>
    <x:xf numFmtId="0" fontId="4" fillId="12" borderId="90" xfId="4" applyFont="1" applyFill="1" applyBorder="1" applyAlignment="1">
      <x:alignment horizontal="center" vertical="center"/>
    </x:xf>
    <x:xf numFmtId="0" fontId="4" fillId="12" borderId="23" xfId="4" applyFont="1" applyFill="1" applyBorder="1" applyAlignment="1">
      <x:alignment horizontal="center" vertical="center"/>
    </x:xf>
    <x:xf numFmtId="0" fontId="4" fillId="12" borderId="5" xfId="4" applyFont="1" applyFill="1" applyBorder="1" applyAlignment="1">
      <x:alignment horizontal="center" vertical="center"/>
    </x:xf>
    <x:xf numFmtId="0" fontId="4" fillId="12" borderId="3" xfId="4" applyFont="1" applyFill="1" applyBorder="1" applyAlignment="1">
      <x:alignment horizontal="center" vertical="center"/>
    </x:xf>
    <x:xf numFmtId="0" fontId="4" fillId="12" borderId="4" xfId="4" applyFont="1" applyFill="1" applyBorder="1" applyAlignment="1">
      <x:alignment horizontal="center" vertical="center"/>
    </x:xf>
    <x:xf numFmtId="0" fontId="4" fillId="12" borderId="2" xfId="4" applyFont="1" applyFill="1" applyBorder="1" applyAlignment="1">
      <x:alignment horizontal="center" vertical="center"/>
    </x:xf>
    <x:xf numFmtId="0" fontId="4" fillId="12" borderId="56" xfId="4" applyFont="1" applyFill="1" applyBorder="1" applyAlignment="1">
      <x:alignment horizontal="center" vertical="center"/>
    </x:xf>
    <x:xf numFmtId="0" fontId="4" fillId="12" borderId="160" xfId="4" applyFont="1" applyFill="1" applyBorder="1" applyAlignment="1">
      <x:alignment horizontal="center" vertical="center"/>
    </x:xf>
    <x:xf numFmtId="0" fontId="131" fillId="12" borderId="160" xfId="0" applyFont="1" applyFill="1" applyBorder="1" applyAlignment="1">
      <x:alignment horizontal="center" vertical="center"/>
    </x:xf>
    <x:xf numFmtId="0" fontId="13" fillId="12" borderId="160" xfId="15" applyFont="1" applyFill="1" applyBorder="1" applyAlignment="1">
      <x:alignment horizontal="center" vertical="center" wrapText="1"/>
    </x:xf>
    <x:xf numFmtId="0" fontId="4" fillId="12" borderId="160" xfId="15" applyFont="1" applyFill="1" applyBorder="1" applyAlignment="1">
      <x:alignment horizontal="center" vertical="center" wrapText="1"/>
    </x:xf>
    <x:xf numFmtId="0" fontId="4" fillId="12" borderId="125" xfId="26" applyFont="1" applyFill="1" applyBorder="1" applyAlignment="1">
      <x:alignment horizontal="center" vertical="center"/>
    </x:xf>
    <x:xf numFmtId="0" fontId="4" fillId="12" borderId="126" xfId="26" applyFont="1" applyFill="1" applyBorder="1" applyAlignment="1">
      <x:alignment horizontal="center" vertical="center"/>
    </x:xf>
    <x:xf numFmtId="0" fontId="26" fillId="12" borderId="127" xfId="26" applyFont="1" applyFill="1" applyBorder="1" applyAlignment="1">
      <x:alignment horizontal="center" vertical="center"/>
    </x:xf>
    <x:xf numFmtId="0" fontId="4" fillId="12" borderId="1" xfId="26" applyFont="1" applyFill="1" applyBorder="1" applyAlignment="1">
      <x:alignment horizontal="center"/>
    </x:xf>
    <x:xf numFmtId="0" fontId="4" fillId="12" borderId="1" xfId="26" applyFont="1" applyFill="1" applyBorder="1" applyAlignment="1">
      <x:alignment horizontal="center" vertical="center"/>
    </x:xf>
    <x:xf numFmtId="0" fontId="4" fillId="6" borderId="1" xfId="26" applyFont="1" applyFill="1" applyBorder="1" applyAlignment="1">
      <x:alignment horizontal="center" vertical="center"/>
    </x:xf>
    <x:xf numFmtId="0" fontId="4" fillId="12" borderId="1" xfId="26" applyFont="1" applyFill="1" applyBorder="1" applyAlignment="1">
      <x:alignment horizontal="left"/>
    </x:xf>
    <x:xf numFmtId="0" fontId="4" fillId="12" borderId="21" xfId="26" applyFont="1" applyFill="1" applyBorder="1" applyAlignment="1">
      <x:alignment horizontal="center"/>
    </x:xf>
    <x:xf numFmtId="0" fontId="4" fillId="12" borderId="22" xfId="26" applyFont="1" applyFill="1" applyBorder="1" applyAlignment="1">
      <x:alignment horizontal="center"/>
    </x:xf>
    <x:xf numFmtId="0" fontId="75" fillId="12" borderId="21" xfId="26" applyFont="1" applyFill="1" applyBorder="1" applyAlignment="1">
      <x:alignment horizontal="center" vertical="center"/>
    </x:xf>
    <x:xf numFmtId="0" fontId="75" fillId="12" borderId="22" xfId="26" applyFont="1" applyFill="1" applyBorder="1" applyAlignment="1">
      <x:alignment horizontal="center" vertical="center"/>
    </x:xf>
    <x:xf numFmtId="0" fontId="75" fillId="12" borderId="1" xfId="26" applyFont="1" applyFill="1" applyBorder="1" applyAlignment="1">
      <x:alignment horizontal="center" vertical="center"/>
    </x:xf>
    <x:xf numFmtId="0" fontId="4" fillId="12" borderId="161" xfId="9" applyFont="1" applyFill="1" applyBorder="1" applyAlignment="1">
      <x:alignment horizontal="center" vertical="center"/>
    </x:xf>
    <x:xf numFmtId="0" fontId="4" fillId="12" borderId="162" xfId="9" applyFont="1" applyFill="1" applyBorder="1" applyAlignment="1">
      <x:alignment horizontal="center" vertical="center"/>
    </x:xf>
    <x:xf numFmtId="0" fontId="4" fillId="12" borderId="1" xfId="9" applyFont="1" applyFill="1" applyBorder="1" applyAlignment="1">
      <x:alignment horizontal="center" vertical="center"/>
    </x:xf>
    <x:xf numFmtId="0" fontId="4" fillId="12" borderId="1" xfId="9" applyFont="1" applyFill="1" applyBorder="1" applyAlignment="1">
      <x:alignment horizontal="left" vertical="center"/>
    </x:xf>
    <x:xf numFmtId="0" fontId="4" fillId="12" borderId="2" xfId="9" applyFont="1" applyFill="1" applyBorder="1" applyAlignment="1">
      <x:alignment horizontal="center" vertical="center" wrapText="1"/>
    </x:xf>
    <x:xf numFmtId="0" fontId="4" fillId="12" borderId="3" xfId="9" applyFont="1" applyFill="1" applyBorder="1" applyAlignment="1">
      <x:alignment horizontal="center" vertical="center" wrapText="1"/>
    </x:xf>
    <x:xf numFmtId="0" fontId="4" fillId="12" borderId="4" xfId="9" applyFont="1" applyFill="1" applyBorder="1" applyAlignment="1">
      <x:alignment horizontal="center" vertical="center" wrapText="1"/>
    </x:xf>
    <x:xf numFmtId="0" fontId="138" fillId="12" borderId="160" xfId="0" applyFont="1" applyFill="1" applyBorder="1" applyAlignment="1">
      <x:alignment horizontal="center" vertical="center"/>
    </x:xf>
    <x:xf numFmtId="0" fontId="137" fillId="12" borderId="160" xfId="0" applyFont="1" applyFill="1" applyBorder="1" applyAlignment="1">
      <x:alignment horizontal="center" vertical="center"/>
    </x:xf>
    <x:xf numFmtId="0" fontId="139" fillId="12" borderId="160" xfId="0" applyFont="1" applyFill="1" applyBorder="1" applyAlignment="1">
      <x:alignment horizontal="center" vertical="center"/>
    </x:xf>
    <x:xf numFmtId="9" fontId="4" fillId="0" borderId="160" xfId="0" applyNumberFormat="1" applyFont="1" applyBorder="1" applyAlignment="1">
      <x:alignment horizontal="center" vertical="center"/>
    </x:xf>
    <x:xf numFmtId="0" fontId="4" fillId="0" borderId="160" xfId="0" applyFont="1" applyBorder="1" applyAlignment="1">
      <x:alignment horizontal="center" vertical="center"/>
    </x:xf>
    <x:xf numFmtId="9" fontId="65" fillId="0" borderId="160" xfId="0" applyNumberFormat="1" applyFont="1" applyBorder="1" applyAlignment="1">
      <x:alignment horizontal="center" vertical="center" wrapText="1"/>
    </x:xf>
    <x:xf numFmtId="0" fontId="65" fillId="0" borderId="160" xfId="0" applyFont="1" applyBorder="1" applyAlignment="1">
      <x:alignment horizontal="center" vertical="center" wrapText="1"/>
    </x:xf>
    <x:xf numFmtId="0" fontId="65" fillId="0" borderId="160" xfId="0" applyFont="1" applyBorder="1" applyAlignment="1">
      <x:alignment horizontal="center" vertical="center"/>
    </x:xf>
    <x:xf numFmtId="44" fontId="132" fillId="12" borderId="160" xfId="16" applyFont="1" applyFill="1" applyBorder="1" applyAlignment="1">
      <x:alignment horizontal="center" vertical="center"/>
    </x:xf>
    <x:xf numFmtId="44" fontId="132" fillId="12" borderId="160" xfId="16" applyFont="1" applyFill="1" applyBorder="1" applyAlignment="1">
      <x:alignment horizontal="center" vertical="center" wrapText="1"/>
    </x:xf>
    <x:xf numFmtId="9" fontId="65" fillId="0" borderId="160" xfId="0" applyNumberFormat="1" applyFont="1" applyBorder="1" applyAlignment="1">
      <x:alignment horizontal="center" vertical="center"/>
    </x:xf>
    <x:xf numFmtId="0" fontId="4" fillId="12" borderId="160" xfId="3" applyFont="1" applyFill="1" applyBorder="1" applyAlignment="1">
      <x:alignment horizontal="center" vertical="center"/>
    </x:xf>
    <x:xf numFmtId="0" fontId="138" fillId="12" borderId="2" xfId="0" applyFont="1" applyFill="1" applyBorder="1" applyAlignment="1">
      <x:alignment horizontal="center"/>
    </x:xf>
    <x:xf numFmtId="0" fontId="138" fillId="12" borderId="163" xfId="0" applyFont="1" applyFill="1" applyBorder="1" applyAlignment="1">
      <x:alignment horizontal="center" vertical="center"/>
    </x:xf>
    <x:xf numFmtId="0" fontId="138" fillId="12" borderId="4" xfId="0" applyFont="1" applyFill="1" applyBorder="1" applyAlignment="1">
      <x:alignment horizontal="center" vertical="center"/>
    </x:xf>
    <x:xf numFmtId="0" fontId="84" fillId="12" borderId="6" xfId="0" applyFont="1" applyFill="1" applyBorder="1" applyAlignment="1">
      <x:alignment horizontal="center" vertical="center" wrapText="1" readingOrder="1"/>
    </x:xf>
    <x:xf numFmtId="0" fontId="84" fillId="12" borderId="10" xfId="0" applyFont="1" applyFill="1" applyBorder="1" applyAlignment="1">
      <x:alignment horizontal="center" vertical="center" wrapText="1" readingOrder="1"/>
    </x:xf>
    <x:xf numFmtId="0" fontId="4" fillId="12" borderId="125" xfId="9" applyFont="1" applyFill="1" applyBorder="1" applyAlignment="1">
      <x:alignment horizontal="center" vertical="center"/>
    </x:xf>
    <x:xf numFmtId="0" fontId="4" fillId="12" borderId="126" xfId="9" applyFont="1" applyFill="1" applyBorder="1" applyAlignment="1">
      <x:alignment horizontal="center" vertical="center"/>
    </x:xf>
    <x:xf numFmtId="0" fontId="4" fillId="12" borderId="123" xfId="9" applyFont="1" applyFill="1" applyBorder="1" applyAlignment="1">
      <x:alignment horizontal="center" vertical="center" wrapText="1"/>
    </x:xf>
    <x:xf numFmtId="0" fontId="4" fillId="12" borderId="23" xfId="9" applyFont="1" applyFill="1" applyBorder="1" applyAlignment="1">
      <x:alignment horizontal="center" vertical="center" wrapText="1"/>
    </x:xf>
    <x:xf numFmtId="0" fontId="4" fillId="12" borderId="91" xfId="9" applyFont="1" applyFill="1" applyBorder="1" applyAlignment="1">
      <x:alignment horizontal="center" vertical="center" wrapText="1"/>
    </x:xf>
    <x:xf numFmtId="0" fontId="4" fillId="12" borderId="124" xfId="9" applyFont="1" applyFill="1" applyBorder="1" applyAlignment="1">
      <x:alignment horizontal="center" vertical="center" wrapText="1"/>
    </x:xf>
    <x:xf numFmtId="0" fontId="4" fillId="12" borderId="125" xfId="26" applyFont="1" applyFill="1" applyBorder="1" applyAlignment="1">
      <x:alignment horizontal="center" vertical="center" wrapText="1"/>
    </x:xf>
    <x:xf numFmtId="0" fontId="4" fillId="12" borderId="126" xfId="26" applyFont="1" applyFill="1" applyBorder="1" applyAlignment="1">
      <x:alignment horizontal="center" vertical="center" wrapText="1"/>
    </x:xf>
    <x:xf numFmtId="0" fontId="2" fillId="12" borderId="1" xfId="26" applyFont="1" applyFill="1" applyBorder="1" applyAlignment="1">
      <x:alignment horizontal="center" vertical="center"/>
    </x:xf>
    <x:xf numFmtId="0" fontId="2" fillId="12" borderId="1" xfId="0" applyFont="1" applyFill="1" applyBorder="1" applyAlignment="1">
      <x:alignment horizontal="center" vertical="center" wrapText="1"/>
    </x:xf>
    <x:xf numFmtId="0" fontId="4" fillId="6" borderId="163" xfId="7" applyFont="1" applyFill="1" applyBorder="1" applyAlignment="1">
      <x:alignment horizontal="center" vertical="center"/>
    </x:xf>
    <x:xf numFmtId="0" fontId="4" fillId="6" borderId="4" xfId="7" applyFont="1" applyFill="1" applyBorder="1" applyAlignment="1">
      <x:alignment horizontal="center" vertical="center"/>
    </x:xf>
    <x:xf numFmtId="0" fontId="4" fillId="6" borderId="163" xfId="26" applyFont="1" applyFill="1" applyBorder="1" applyAlignment="1">
      <x:alignment horizontal="center" vertical="center"/>
    </x:xf>
    <x:xf numFmtId="0" fontId="4" fillId="6" borderId="4" xfId="26" applyFont="1" applyFill="1" applyBorder="1" applyAlignment="1">
      <x:alignment horizontal="center" vertical="center"/>
    </x:xf>
    <x:xf numFmtId="0" fontId="4" fillId="6" borderId="6" xfId="7" applyFont="1" applyFill="1" applyBorder="1" applyAlignment="1">
      <x:alignment horizontal="center" vertical="center"/>
    </x:xf>
    <x:xf numFmtId="0" fontId="4" fillId="6" borderId="8" xfId="7" applyFont="1" applyFill="1" applyBorder="1" applyAlignment="1">
      <x:alignment horizontal="center" vertical="center"/>
    </x:xf>
    <x:xf numFmtId="0" fontId="4" fillId="6" borderId="128" xfId="7" applyFont="1" applyFill="1" applyBorder="1" applyAlignment="1">
      <x:alignment horizontal="center" vertical="center"/>
    </x:xf>
    <x:xf numFmtId="0" fontId="4" fillId="6" borderId="10" xfId="7" applyFont="1" applyFill="1" applyBorder="1" applyAlignment="1">
      <x:alignment horizontal="center" vertical="center"/>
    </x:xf>
    <x:xf numFmtId="0" fontId="2" fillId="12" borderId="127" xfId="26" applyFont="1" applyFill="1" applyBorder="1" applyAlignment="1">
      <x:alignment horizontal="center"/>
    </x:xf>
    <x:xf numFmtId="0" fontId="4" fillId="6" borderId="2" xfId="9" applyFont="1" applyFill="1" applyBorder="1" applyAlignment="1">
      <x:alignment horizontal="center" vertical="center" wrapText="1"/>
    </x:xf>
    <x:xf numFmtId="0" fontId="4" fillId="6" borderId="3" xfId="9" applyFont="1" applyFill="1" applyBorder="1" applyAlignment="1">
      <x:alignment horizontal="center" vertical="center" wrapText="1"/>
    </x:xf>
    <x:xf numFmtId="0" fontId="4" fillId="6" borderId="4" xfId="9" applyFont="1" applyFill="1" applyBorder="1" applyAlignment="1">
      <x:alignment horizontal="center" vertical="center" wrapText="1"/>
    </x:xf>
    <x:xf numFmtId="0" fontId="4" fillId="6" borderId="122" xfId="7" applyFont="1" applyFill="1" applyBorder="1" applyAlignment="1">
      <x:alignment horizontal="center" vertical="center" wrapText="1"/>
    </x:xf>
    <x:xf numFmtId="0" fontId="4" fillId="6" borderId="3" xfId="7" applyFont="1" applyFill="1" applyBorder="1" applyAlignment="1">
      <x:alignment horizontal="center" vertical="center" wrapText="1"/>
    </x:xf>
    <x:xf numFmtId="0" fontId="4" fillId="6" borderId="4" xfId="7" applyFont="1" applyFill="1" applyBorder="1" applyAlignment="1">
      <x:alignment horizontal="center" vertical="center" wrapText="1"/>
    </x:xf>
    <x:xf numFmtId="0" fontId="4" fillId="6" borderId="6" xfId="7" applyFont="1" applyFill="1" applyBorder="1" applyAlignment="1">
      <x:alignment horizontal="center" vertical="center" wrapText="1"/>
    </x:xf>
    <x:xf numFmtId="0" fontId="4" fillId="6" borderId="8" xfId="7" applyFont="1" applyFill="1" applyBorder="1" applyAlignment="1">
      <x:alignment horizontal="center" vertical="center" wrapText="1"/>
    </x:xf>
    <x:xf numFmtId="0" fontId="4" fillId="6" borderId="10" xfId="7" applyFont="1" applyFill="1" applyBorder="1" applyAlignment="1">
      <x:alignment horizontal="center" vertical="center" wrapText="1"/>
    </x:xf>
    <x:xf numFmtId="0" fontId="4" fillId="6" borderId="15" xfId="7" applyFont="1" applyFill="1" applyBorder="1" applyAlignment="1">
      <x:alignment horizontal="center" vertical="center"/>
    </x:xf>
    <x:xf numFmtId="0" fontId="4" fillId="6" borderId="3" xfId="9" applyFont="1" applyFill="1" applyBorder="1" applyAlignment="1">
      <x:alignment horizontal="center" vertical="center"/>
    </x:xf>
    <x:xf numFmtId="0" fontId="4" fillId="6" borderId="4" xfId="9" applyFont="1" applyFill="1" applyBorder="1" applyAlignment="1">
      <x:alignment horizontal="center" vertical="center"/>
    </x:xf>
    <x:xf numFmtId="0" fontId="4" fillId="0" borderId="1" xfId="7" applyFont="1" applyBorder="1" applyAlignment="1">
      <x:alignment horizontal="center" vertical="center"/>
    </x:xf>
    <x:xf numFmtId="0" fontId="4" fillId="0" borderId="1" xfId="7" applyFont="1" applyBorder="1" applyAlignment="1">
      <x:alignment horizontal="center" vertical="center" wrapText="1"/>
    </x:xf>
    <x:xf numFmtId="0" fontId="4" fillId="6" borderId="1" xfId="7" applyFont="1" applyFill="1" applyBorder="1" applyAlignment="1">
      <x:alignment horizontal="center" vertical="center" wrapText="1"/>
    </x:xf>
    <x:xf numFmtId="0" fontId="4" fillId="6" borderId="15" xfId="7" applyFont="1" applyFill="1" applyBorder="1" applyAlignment="1">
      <x:alignment horizontal="center" vertical="center" wrapText="1"/>
    </x:xf>
    <x:xf numFmtId="0" fontId="4" fillId="6" borderId="2" xfId="9" applyFont="1" applyFill="1" applyBorder="1" applyAlignment="1">
      <x:alignment horizontal="center" vertical="center"/>
    </x:xf>
    <x:xf numFmtId="0" fontId="2" fillId="12" borderId="21" xfId="7" applyFont="1" applyFill="1" applyBorder="1" applyAlignment="1">
      <x:alignment horizontal="center" vertical="center" shrinkToFit="1"/>
    </x:xf>
    <x:xf numFmtId="0" fontId="2" fillId="12" borderId="22" xfId="7" applyFont="1" applyFill="1" applyBorder="1" applyAlignment="1">
      <x:alignment horizontal="center" vertical="center" shrinkToFit="1"/>
    </x:xf>
    <x:xf numFmtId="0" fontId="4" fillId="12" borderId="122" xfId="26" applyFont="1" applyFill="1" applyBorder="1" applyAlignment="1">
      <x:alignment horizontal="center" vertical="center"/>
    </x:xf>
    <x:xf numFmtId="0" fontId="4" fillId="12" borderId="4" xfId="26" applyFont="1" applyFill="1" applyBorder="1" applyAlignment="1">
      <x:alignment horizontal="center" vertical="center"/>
    </x:xf>
    <x:xf numFmtId="0" fontId="96" fillId="53" borderId="4" xfId="3" applyFont="1" applyFill="1" applyBorder="1" applyAlignment="1">
      <x:alignment horizontal="center"/>
    </x:xf>
    <x:xf numFmtId="0" fontId="96" fillId="53" borderId="197" xfId="3" applyFont="1" applyFill="1" applyBorder="1" applyAlignment="1">
      <x:alignment horizontal="center"/>
    </x:xf>
    <x:xf numFmtId="0" fontId="8" fillId="10" borderId="186" xfId="3" applyFont="1" applyFill="1" applyBorder="1" applyAlignment="1">
      <x:alignment horizontal="center" vertical="center"/>
    </x:xf>
    <x:xf numFmtId="0" fontId="4" fillId="0" borderId="1" xfId="0" applyFont="1" applyBorder="1" applyAlignment="1">
      <x:alignment vertical="center" wrapText="1"/>
    </x:xf>
    <x:xf numFmtId="0" fontId="74" fillId="12" borderId="1" xfId="26" applyFont="1" applyFill="1" applyBorder="1" applyAlignment="1">
      <x:alignment horizontal="center" vertical="center"/>
    </x:xf>
    <x:xf numFmtId="0" fontId="74" fillId="6" borderId="21" xfId="0" applyFont="1" applyFill="1" applyBorder="1" applyAlignment="1">
      <x:alignment horizontal="center" vertical="center" wrapText="1"/>
    </x:xf>
    <x:xf numFmtId="0" fontId="74" fillId="6" borderId="22" xfId="0" applyFont="1" applyFill="1" applyBorder="1" applyAlignment="1">
      <x:alignment horizontal="center" vertical="center" wrapText="1"/>
    </x:xf>
    <x:xf numFmtId="0" fontId="144" fillId="0" borderId="186" xfId="0" applyFont="1" applyBorder="1" applyAlignment="1">
      <x:alignment horizontal="center" vertical="center"/>
    </x:xf>
    <x:xf numFmtId="0" fontId="143" fillId="51" borderId="186" xfId="0" applyFont="1" applyFill="1" applyBorder="1" applyAlignment="1">
      <x:alignment horizontal="center" vertical="center"/>
    </x:xf>
    <x:xf numFmtId="14" fontId="4" fillId="0" borderId="125" xfId="3" applyNumberFormat="1" applyFont="1" applyBorder="1" applyAlignment="1">
      <x:alignment horizontal="center" vertical="center"/>
    </x:xf>
    <x:xf numFmtId="14" fontId="4" fillId="0" borderId="126" xfId="3" applyNumberFormat="1" applyFont="1" applyBorder="1" applyAlignment="1">
      <x:alignment horizontal="center" vertical="center"/>
    </x:xf>
    <x:xf numFmtId="0" fontId="2" fillId="18" borderId="1" xfId="26" applyFont="1" applyFill="1" applyBorder="1" applyAlignment="1">
      <x:alignment horizontal="center" vertical="center"/>
    </x:xf>
    <x:xf numFmtId="0" fontId="2" fillId="12" borderId="21" xfId="0" applyFont="1" applyFill="1" applyBorder="1" applyAlignment="1">
      <x:alignment horizontal="center" vertical="center" wrapText="1"/>
    </x:xf>
    <x:xf numFmtId="0" fontId="2" fillId="12" borderId="22" xfId="0" applyFont="1" applyFill="1" applyBorder="1" applyAlignment="1">
      <x:alignment horizontal="center" vertical="center" wrapText="1"/>
    </x:xf>
    <x:xf numFmtId="0" fontId="2" fillId="5" borderId="127" xfId="0" applyFont="1" applyFill="1" applyBorder="1" applyAlignment="1">
      <x:alignment horizontal="center" vertical="center"/>
    </x:xf>
    <x:xf numFmtId="0" fontId="4" fillId="22" borderId="127" xfId="0" applyFont="1" applyFill="1" applyBorder="1" applyAlignment="1">
      <x:alignment horizontal="center" vertical="center" wrapText="1"/>
    </x:xf>
    <x:xf numFmtId="0" fontId="4" fillId="22" borderId="127" xfId="0" applyFont="1" applyFill="1" applyBorder="1" applyAlignment="1">
      <x:alignment horizontal="center" vertical="center"/>
    </x:xf>
    <x:xf numFmtId="0" fontId="4" fillId="46" borderId="127" xfId="0" applyFont="1" applyFill="1" applyBorder="1" applyAlignment="1">
      <x:alignment horizontal="center" vertical="center"/>
    </x:xf>
  </x:cellXfs>
  <x:cellStyles count="5">
    <x:cellStyle name="Neutral" xfId="407" xr:uid="{E9D4BC37-C4FF-4F07-9178-CBE5A9E0FC5E}"/>
    <x:cellStyle name="백분율" xfId="2" builtinId="5"/>
    <x:cellStyle name="쉼표 [0]" xfId="1" builtinId="6"/>
    <x:cellStyle name="통화" xfId="16" builtinId="4"/>
    <x:cellStyle name="표준" xfId="0" builtinId="0"/>
  </x:cellStyles>
  <x:dxfs count="0"/>
  <x:tableStyles count="1" defaultTableStyle="TableStyleMedium2" defaultPivotStyle="PivotStyleLight16">
    <x:tableStyle name="PivotTable Stili 1" table="0" count="0" xr9:uid="{A3AFF5FF-7D6B-4D6F-8788-D0582358F63A}"/>
  </x:tableStyles>
  <x:colors>
    <x:mruColors>
      <x:color rgb="FF0000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133574</xdr:colOff>
      <xdr:row>0</xdr:row>
      <xdr:rowOff>30480</xdr:rowOff>
    </xdr:from>
    <xdr:to>
      <xdr:col>2</xdr:col>
      <xdr:colOff>897256</xdr:colOff>
      <xdr:row>5</xdr:row>
      <xdr:rowOff>56814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F2E8FD5-9B20-4005-AFCC-7DD0C3127B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8568"/>
        <a:stretch/>
      </xdr:blipFill>
      <xdr:spPr>
        <a:xfrm>
          <a:off x="133574" y="30480"/>
          <a:ext cx="2964773" cy="10912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611505</xdr:colOff>
      <xdr:row>3</xdr:row>
      <xdr:rowOff>54292</xdr:rowOff>
    </xdr:from>
    <xdr:to>
      <xdr:col>29</xdr:col>
      <xdr:colOff>96387</xdr:colOff>
      <xdr:row>31</xdr:row>
      <xdr:rowOff>58399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D5C0D1A-7056-E417-00CF-3DF104C9F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56630" y="921067"/>
          <a:ext cx="6158096" cy="80895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339412</xdr:colOff>
      <xdr:row>13</xdr:row>
      <xdr:rowOff>128047</xdr:rowOff>
    </xdr:from>
    <xdr:to>
      <xdr:col>12</xdr:col>
      <xdr:colOff>646920</xdr:colOff>
      <xdr:row>43</xdr:row>
      <xdr:rowOff>93026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76B1CEA-4CF1-4054-8F59-E09A3D4E0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9782" y="6083243"/>
          <a:ext cx="4467105" cy="6425413"/>
        </a:xfrm>
        <a:prstGeom prst="rect">
          <a:avLst/>
        </a:prstGeom>
      </xdr:spPr>
    </xdr:pic>
    <xdr:clientData/>
  </xdr:twoCellAnchor>
  <xdr:twoCellAnchor>
    <xdr:from>
      <xdr:col>10</xdr:col>
      <xdr:colOff>31833</xdr:colOff>
      <xdr:row>12</xdr:row>
      <xdr:rowOff>118654</xdr:rowOff>
    </xdr:from>
    <xdr:to>
      <xdr:col>12</xdr:col>
      <xdr:colOff>74021</xdr:colOff>
      <xdr:row>13</xdr:row>
      <xdr:rowOff>187234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BF37CE-D465-D008-68BC-480152D47229}"/>
            </a:ext>
          </a:extLst>
        </xdr:cNvPr>
        <xdr:cNvSpPr txBox="1"/>
      </xdr:nvSpPr>
      <xdr:spPr>
        <a:xfrm>
          <a:off x="7005790" y="5858502"/>
          <a:ext cx="1284579" cy="2839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rgbClr val="0000FF"/>
              </a:solidFill>
            </a:rPr>
            <a:t>&lt;</a:t>
          </a:r>
          <a:r>
            <a:rPr lang="en-US" altLang="ko-KR" sz="1200" b="1" baseline="0">
              <a:solidFill>
                <a:srgbClr val="0000FF"/>
              </a:solidFill>
            </a:rPr>
            <a:t> 2</a:t>
          </a:r>
          <a:r>
            <a:rPr lang="ko-KR" altLang="en-US" sz="1200" b="1" baseline="0">
              <a:solidFill>
                <a:srgbClr val="0000FF"/>
              </a:solidFill>
            </a:rPr>
            <a:t>차</a:t>
          </a:r>
          <a:r>
            <a:rPr lang="en-US" altLang="ko-KR" sz="1200" b="1" baseline="0">
              <a:solidFill>
                <a:srgbClr val="0000FF"/>
              </a:solidFill>
            </a:rPr>
            <a:t>&gt;</a:t>
          </a:r>
          <a:endParaRPr lang="ko-KR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</xdr:col>
      <xdr:colOff>364477</xdr:colOff>
      <xdr:row>12</xdr:row>
      <xdr:rowOff>111034</xdr:rowOff>
    </xdr:from>
    <xdr:to>
      <xdr:col>4</xdr:col>
      <xdr:colOff>165797</xdr:colOff>
      <xdr:row>13</xdr:row>
      <xdr:rowOff>177709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96D627-FA19-1E29-3A6B-0FA667F4FD4C}"/>
            </a:ext>
          </a:extLst>
        </xdr:cNvPr>
        <xdr:cNvSpPr txBox="1"/>
      </xdr:nvSpPr>
      <xdr:spPr>
        <a:xfrm>
          <a:off x="1590303" y="5850882"/>
          <a:ext cx="1822277" cy="2820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rgbClr val="0000FF"/>
              </a:solidFill>
            </a:rPr>
            <a:t>&lt;</a:t>
          </a:r>
          <a:r>
            <a:rPr lang="en-US" altLang="ko-KR" sz="1200" b="1" baseline="0">
              <a:solidFill>
                <a:srgbClr val="0000FF"/>
              </a:solidFill>
            </a:rPr>
            <a:t> 1</a:t>
          </a:r>
          <a:r>
            <a:rPr lang="ko-KR" altLang="en-US" sz="1200" b="1" baseline="0">
              <a:solidFill>
                <a:srgbClr val="0000FF"/>
              </a:solidFill>
            </a:rPr>
            <a:t>차</a:t>
          </a:r>
          <a:r>
            <a:rPr lang="en-US" altLang="ko-KR" sz="1200" b="1" baseline="0">
              <a:solidFill>
                <a:srgbClr val="0000FF"/>
              </a:solidFill>
            </a:rPr>
            <a:t>&gt;</a:t>
          </a:r>
          <a:endParaRPr lang="ko-KR" altLang="en-US" sz="1200" b="1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1</xdr:col>
      <xdr:colOff>418604</xdr:colOff>
      <xdr:row>13</xdr:row>
      <xdr:rowOff>196508</xdr:rowOff>
    </xdr:from>
    <xdr:to>
      <xdr:col>6</xdr:col>
      <xdr:colOff>631072</xdr:colOff>
      <xdr:row>43</xdr:row>
      <xdr:rowOff>58995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0A1AE48-7C37-D20E-A7FD-66EA60120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2539" y="6151704"/>
          <a:ext cx="4606258" cy="633625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이수형 Deputy General Manager [Lee Soo Hyung]" id="{62022A05-5F8E-4C43-8334-47CA94D9D962}" userId="S::shlee19@kyungshin.co.kr::5f37e789-dbbb-4980-a003-65076186d7f8" providerId="AD"/>
  <person displayName="신희찬 Specialist [SHIN HEECHAN]" id="{A1A310DA-5139-47C0-BC0C-6D2FADA46C72}" userId="S::heechanshin@kyungshin.co.kr::1218703b-16a0-4dd6-bd5b-80a833a4940f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5-12-15T17:39:18.22" personId="{62022A05-5F8E-4C43-8334-47CA94D9D962}" id="{2D2752FB-D7FD-459B-BE77-48CDA9D81359}">
    <text>RWD/AWD 본격양산 `26년 2월~</text>
  </threadedComment>
  <threadedComment ref="L5" dT="2025-12-15T17:34:29.30" personId="{62022A05-5F8E-4C43-8334-47CA94D9D962}" id="{CCB5E5FD-9538-4E1A-A1CC-46E6F2197510}">
    <text>물량저조 원인 : 포드오토산 Shut Down 반영</text>
  </threadedComment>
  <threadedComment ref="O5" dT="2025-12-15T17:33:28.56" personId="{62022A05-5F8E-4C43-8334-47CA94D9D962}" id="{53B74A3F-AE37-4D35-A00A-9CF2AEDD0771}">
    <text>RWD/AWD 10월 물량반영, EV-V4 10월 양산물량 반영</text>
  </threadedComment>
  <threadedComment ref="P19" dT="2025-12-15T17:41:21.34" personId="{62022A05-5F8E-4C43-8334-47CA94D9D962}" id="{C4EF290C-A14D-4ECA-A094-DB2EBA3E6DE0}">
    <text>EV-V4 본격 양산진행</text>
  </threadedComment>
  <threadedComment ref="J71" dT="2025-12-15T17:40:08.74" personId="{62022A05-5F8E-4C43-8334-47CA94D9D962}" id="{A9609B08-C9D5-49D1-8C4D-D18CC26C3F73}">
    <text>정기 신뢰성평가 500,000TL</text>
  </threadedComment>
  <threadedComment ref="L71" dT="2025-12-15T17:40:41.34" personId="{62022A05-5F8E-4C43-8334-47CA94D9D962}" id="{748E81E7-E6B1-47D4-9064-1CC7D543F596}">
    <text>포드 오토산 Shut Down 2주 반영</text>
  </threadedComment>
  <threadedComment ref="Q71" dT="2025-12-30T08:55:46.36" personId="{62022A05-5F8E-4C43-8334-47CA94D9D962}" id="{9E8C27E0-EEEB-4575-8A79-50213754684F}">
    <text>KSC-KCTR 기술지원비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75" dT="2025-11-28T07:36:35.30" personId="{A1A310DA-5139-47C0-BC0C-6D2FADA46C72}" id="{52BA8591-CC6D-4700-95A0-0B9D6223BE91}">
    <text>AWD에만 사용</text>
  </threadedComment>
  <threadedComment ref="H76" dT="2025-11-28T07:36:47.65" personId="{A1A310DA-5139-47C0-BC0C-6D2FADA46C72}" id="{3F9FD198-15FA-4BEB-8C46-8DD5F73C2902}">
    <text>AWD에만 사용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703A20-D3F9-45D5-96B1-75DDDAE9FB02}" mc:Ignorable="x14ac xr xr2 xr3">
  <x:sheetPr codeName="Sheet1"/>
  <x:dimension ref="B2:I18"/>
  <x:sheetViews>
    <x:sheetView showGridLines="0" topLeftCell="H1" zoomScale="115" zoomScaleNormal="115" workbookViewId="0">
      <x:selection activeCell="J3" sqref="J3:J18"/>
    </x:sheetView>
  </x:sheetViews>
  <x:sheetFormatPr defaultRowHeight="21.95" customHeight="1"/>
  <x:cols>
    <x:col min="1" max="1" width="4.625" customWidth="1"/>
    <x:col min="2" max="2" width="13.625" customWidth="1"/>
    <x:col min="3" max="3" width="11.875" customWidth="1"/>
    <x:col min="4" max="5" width="15.125" customWidth="1"/>
    <x:col min="6" max="6" width="7.75" customWidth="1"/>
    <x:col min="7" max="7" width="13.625" style="3" bestFit="1" customWidth="1"/>
    <x:col min="8" max="8" width="9.375" bestFit="1" customWidth="1"/>
  </x:cols>
  <x:sheetData>
    <x:row r="2" spans="2:9" ht="32.25" customHeight="1">
      <x:c r="B2" s="1" t="s">
        <x:v>0</x:v>
      </x:c>
      <x:c r="C2" s="2"/>
      <x:c r="D2" s="2"/>
      <x:c r="E2" s="2"/>
    </x:row>
    <x:row r="3" spans="2:9" ht="21.95" customHeight="1">
      <x:c r="B3" s="1203" t="s">
        <x:v>1</x:v>
      </x:c>
      <x:c r="C3" s="1203"/>
      <x:c r="D3" s="5" t="s">
        <x:v>2</x:v>
      </x:c>
      <x:c r="E3" s="5" t="s">
        <x:v>3</x:v>
      </x:c>
      <x:c r="F3" s="6"/>
      <x:c r="G3" s="7" t="s">
        <x:v>4</x:v>
      </x:c>
      <x:c r="H3" s="8" t="s">
        <x:v>5</x:v>
      </x:c>
      <x:c r="I3" s="8"/>
    </x:row>
    <x:row r="4" spans="2:9" ht="21.95" customHeight="1">
      <x:c r="B4" s="1204" t="s">
        <x:v>6</x:v>
      </x:c>
      <x:c r="C4" s="4" t="s">
        <x:v>7</x:v>
      </x:c>
      <x:c r="D4" s="9">
        <x:v>1350</x:v>
      </x:c>
      <x:c r="E4" s="1207" t="s">
        <x:v>8</x:v>
      </x:c>
      <x:c r="F4" s="10"/>
      <x:c r="G4" s="7">
        <x:v>1350</x:v>
      </x:c>
      <x:c r="H4" s="7">
        <x:v>1381.14</x:v>
      </x:c>
      <x:c r="I4" s="11">
        <x:f t="shared" ref="I4:I17" si="0">G4/H4</x:f>
        <x:v>0.97745340805421599</x:v>
      </x:c>
    </x:row>
    <x:row r="5" spans="2:9" ht="21.95" customHeight="1">
      <x:c r="B5" s="1205"/>
      <x:c r="C5" s="4" t="s">
        <x:v>9</x:v>
      </x:c>
      <x:c r="D5" s="9">
        <x:v>195</x:v>
      </x:c>
      <x:c r="E5" s="1208"/>
      <x:c r="F5" s="12"/>
      <x:c r="G5" s="7">
        <x:v>195</x:v>
      </x:c>
      <x:c r="H5" s="7">
        <x:v>194.798</x:v>
      </x:c>
      <x:c r="I5" s="11">
        <x:f t="shared" si="0"/>
        <x:v>1.0010369716321523</x:v>
      </x:c>
    </x:row>
    <x:row r="6" spans="2:9" ht="21.95" customHeight="1">
      <x:c r="B6" s="1205"/>
      <x:c r="C6" s="4" t="s">
        <x:v>10</x:v>
      </x:c>
      <x:c r="D6" s="9">
        <x:v>1600</x:v>
      </x:c>
      <x:c r="E6" s="1208"/>
      <x:c r="F6" s="12"/>
      <x:c r="G6" s="7">
        <x:v>1600</x:v>
      </x:c>
      <x:c r="H6" s="7">
        <x:v>1627.1</x:v>
      </x:c>
      <x:c r="I6" s="11">
        <x:f t="shared" si="0"/>
        <x:v>0.98334460082355113</x:v>
      </x:c>
    </x:row>
    <x:row r="7" spans="2:9" ht="21.95" customHeight="1">
      <x:c r="B7" s="1205"/>
      <x:c r="C7" s="4" t="s">
        <x:v>11</x:v>
      </x:c>
      <x:c r="D7" s="9">
        <x:v>19</x:v>
      </x:c>
      <x:c r="E7" s="1208"/>
      <x:c r="F7" s="12"/>
      <x:c r="G7" s="7">
        <x:v>19</x:v>
      </x:c>
      <x:c r="H7" s="7">
        <x:v>18.424800000000001</x:v>
      </x:c>
      <x:c r="I7" s="11">
        <x:f t="shared" si="0"/>
        <x:v>1.0312187920628717</x:v>
      </x:c>
    </x:row>
    <x:row r="8" spans="2:9" ht="21.95" customHeight="1">
      <x:c r="B8" s="1206"/>
      <x:c r="C8" s="13" t="s">
        <x:v>12</x:v>
      </x:c>
      <x:c r="D8" s="14">
        <x:v>6.9</x:v>
      </x:c>
      <x:c r="E8" s="1209"/>
      <x:c r="F8" s="12"/>
      <x:c r="G8" s="15">
        <x:v>6.9</x:v>
      </x:c>
      <x:c r="H8" s="15">
        <x:v>7.12</x:v>
      </x:c>
      <x:c r="I8" s="11">
        <x:f t="shared" si="0"/>
        <x:v>0.9691011235955056</x:v>
      </x:c>
    </x:row>
    <x:row r="9" spans="2:9" ht="21.95" customHeight="1">
      <x:c r="B9" s="1203" t="s">
        <x:v>13</x:v>
      </x:c>
      <x:c r="C9" s="4" t="s">
        <x:v>14</x:v>
      </x:c>
      <x:c r="D9" s="16">
        <x:v>14</x:v>
      </x:c>
      <x:c r="E9" s="1210" t="s">
        <x:v>15</x:v>
      </x:c>
      <x:c r="F9" s="10"/>
      <x:c r="G9" s="15">
        <x:v>14</x:v>
      </x:c>
      <x:c r="H9" s="15">
        <x:v>13.9</x:v>
      </x:c>
      <x:c r="I9" s="11">
        <x:f t="shared" si="0"/>
        <x:v>1.0071942446043165</x:v>
      </x:c>
    </x:row>
    <x:row r="10" spans="2:9" ht="21.95" customHeight="1">
      <x:c r="B10" s="1203"/>
      <x:c r="C10" s="4" t="s">
        <x:v>16</x:v>
      </x:c>
      <x:c r="D10" s="9">
        <x:v>117</x:v>
      </x:c>
      <x:c r="E10" s="1211"/>
      <x:c r="F10" s="12"/>
      <x:c r="G10" s="7">
        <x:v>117</x:v>
      </x:c>
      <x:c r="H10" s="7">
        <x:v>116.81</x:v>
      </x:c>
      <x:c r="I10" s="11">
        <x:f t="shared" si="0"/>
        <x:v>1.0016265730673743</x:v>
      </x:c>
    </x:row>
    <x:row r="11" spans="2:9" ht="21.95" customHeight="1">
      <x:c r="B11" s="1203"/>
      <x:c r="C11" s="4" t="s">
        <x:v>17</x:v>
      </x:c>
      <x:c r="D11" s="9">
        <x:v>100</x:v>
      </x:c>
      <x:c r="E11" s="1211"/>
      <x:c r="F11" s="12"/>
      <x:c r="G11" s="7">
        <x:v>100</x:v>
      </x:c>
      <x:c r="H11" s="7">
        <x:v>99.55</x:v>
      </x:c>
      <x:c r="I11" s="11">
        <x:f t="shared" si="0"/>
        <x:v>1.0045203415369162</x:v>
      </x:c>
    </x:row>
    <x:row r="12" spans="2:9" ht="21.95" customHeight="1">
      <x:c r="B12" s="1212" t="s">
        <x:v>18</x:v>
      </x:c>
      <x:c r="C12" s="17" t="s">
        <x:v>19</x:v>
      </x:c>
      <x:c r="D12" s="18">
        <x:v>32</x:v>
      </x:c>
      <x:c r="E12" s="1211"/>
      <x:c r="F12" s="12"/>
      <x:c r="G12" s="7">
        <x:v>32</x:v>
      </x:c>
      <x:c r="H12" s="7">
        <x:v>33.549999999999997</x:v>
      </x:c>
      <x:c r="I12" s="11">
        <x:f t="shared" si="0"/>
        <x:v>0.95380029806259325</x:v>
      </x:c>
    </x:row>
    <x:row r="13" spans="2:9" ht="21.95" customHeight="1">
      <x:c r="B13" s="1212"/>
      <x:c r="C13" s="17" t="s">
        <x:v>20</x:v>
      </x:c>
      <x:c r="D13" s="18">
        <x:v>43</x:v>
      </x:c>
      <x:c r="E13" s="1211"/>
      <x:c r="F13" s="12"/>
      <x:c r="G13" s="7">
        <x:v>43</x:v>
      </x:c>
      <x:c r="H13" s="7">
        <x:v>41.37</x:v>
      </x:c>
      <x:c r="I13" s="11">
        <x:f t="shared" si="0"/>
        <x:v>1.0394005317863186</x:v>
      </x:c>
    </x:row>
    <x:row r="14" spans="2:9" ht="21.95" customHeight="1">
      <x:c r="B14" s="1212"/>
      <x:c r="C14" s="17" t="s">
        <x:v>21</x:v>
      </x:c>
      <x:c r="D14" s="18">
        <x:v>51</x:v>
      </x:c>
      <x:c r="E14" s="1211"/>
      <x:c r="F14" s="12"/>
      <x:c r="G14" s="7">
        <x:v>51</x:v>
      </x:c>
      <x:c r="H14" s="7">
        <x:v>48.58</x:v>
      </x:c>
      <x:c r="I14" s="11">
        <x:f t="shared" si="0"/>
        <x:v>1.0498147385755456</x:v>
      </x:c>
    </x:row>
    <x:row r="15" spans="2:9" ht="21.95" customHeight="1">
      <x:c r="B15" s="1203" t="s">
        <x:v>22</x:v>
      </x:c>
      <x:c r="C15" s="4" t="s">
        <x:v>23</x:v>
      </x:c>
      <x:c r="D15" s="9">
        <x:v>385</x:v>
      </x:c>
      <x:c r="E15" s="1211"/>
      <x:c r="F15" s="12"/>
      <x:c r="G15" s="7">
        <x:v>385</x:v>
      </x:c>
      <x:c r="H15" s="7">
        <x:v>383.45</x:v>
      </x:c>
      <x:c r="I15" s="11">
        <x:f t="shared" si="0"/>
        <x:v>1.0040422480114748</x:v>
      </x:c>
    </x:row>
    <x:row r="16" spans="2:9" ht="21.95" customHeight="1">
      <x:c r="B16" s="1203"/>
      <x:c r="C16" s="4" t="s">
        <x:v>24</x:v>
      </x:c>
      <x:c r="D16" s="16">
        <x:v>4.2</x:v>
      </x:c>
      <x:c r="E16" s="1211"/>
      <x:c r="F16" s="12"/>
      <x:c r="G16" s="15">
        <x:v>4.2</x:v>
      </x:c>
      <x:c r="H16" s="15">
        <x:v>4.24</x:v>
      </x:c>
      <x:c r="I16" s="11">
        <x:f t="shared" si="0"/>
        <x:v>0.99056603773584906</x:v>
      </x:c>
    </x:row>
    <x:row r="17" spans="2:9" ht="21.95" customHeight="1">
      <x:c r="B17" s="1203"/>
      <x:c r="C17" s="4" t="s">
        <x:v>25</x:v>
      </x:c>
      <x:c r="D17" s="16">
        <x:v>3.6</x:v>
      </x:c>
      <x:c r="E17" s="1211"/>
      <x:c r="F17" s="12"/>
      <x:c r="G17" s="15">
        <x:v>3.6</x:v>
      </x:c>
      <x:c r="H17" s="15">
        <x:v>3.62</x:v>
      </x:c>
      <x:c r="I17" s="11">
        <x:f t="shared" si="0"/>
        <x:v>0.99447513812154698</x:v>
      </x:c>
    </x:row>
    <x:row r="18" spans="2:9" ht="21.95" customHeight="1">
      <x:c r="B18" s="2" t="s">
        <x:v>26</x:v>
      </x:c>
      <x:c r="C18" s="2"/>
      <x:c r="D18" s="2"/>
      <x:c r="E18" s="2"/>
      <x:c r="G18" s="7"/>
      <x:c r="H18" s="8"/>
      <x:c r="I18" s="8"/>
    </x:row>
  </x:sheetData>
  <x:mergeCells count="7">
    <x:mergeCell ref="B3:C3"/>
    <x:mergeCell ref="B4:B8"/>
    <x:mergeCell ref="E4:E8"/>
    <x:mergeCell ref="B9:B11"/>
    <x:mergeCell ref="E9:E17"/>
    <x:mergeCell ref="B12:B14"/>
    <x:mergeCell ref="B15:B17"/>
  </x:mergeCells>
  <x:phoneticPr fontId="3" type="noConversion"/>
  <x:pageMargins left="0.7" right="0.7" top="0.75" bottom="0.75" header="0.3" footer="0.3"/>
  <x:pageSetup paperSize="9" orientation="portrait" r:id="rId1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4F7F491-5EB4-4ACB-85C2-AB0ADAEF19C7}" mc:Ignorable="x14ac xr xr2 xr3">
  <x:sheetPr codeName="Sheet2"/>
  <x:dimension ref="B1:V100"/>
  <x:sheetViews>
    <x:sheetView showGridLines="0" tabSelected="1" topLeftCell="K1" zoomScale="70" zoomScaleNormal="70" workbookViewId="0">
      <x:pane ySplit="4" topLeftCell="A32" activePane="bottomLeft" state="frozen"/>
      <x:selection pane="bottomLeft" activeCell="R83" sqref="R83:V87"/>
    </x:sheetView>
  </x:sheetViews>
  <x:sheetFormatPr defaultColWidth="6.875" defaultRowHeight="13.5" outlineLevelRow="1" outlineLevelCol="1"/>
  <x:cols>
    <x:col min="1" max="1" width="2.5" style="190" customWidth="1"/>
    <x:col min="2" max="2" width="22.5" style="190" customWidth="1"/>
    <x:col min="3" max="3" width="46.5" style="190" bestFit="1" customWidth="1"/>
    <x:col min="4" max="4" width="17.25" style="191" customWidth="1"/>
    <x:col min="5" max="5" width="8.375" style="191" customWidth="1"/>
    <x:col min="6" max="8" width="12.25" style="191" customWidth="1"/>
    <x:col min="9" max="10" width="12.25" style="191" customWidth="1" outlineLevel="1"/>
    <x:col min="11" max="19" width="12.25" style="191" customWidth="1"/>
    <x:col min="20" max="20" width="6.875" style="190"/>
    <x:col min="21" max="21" width="12.5" style="190" customWidth="1"/>
    <x:col min="22" max="22" width="13.875" style="190" bestFit="1" customWidth="1"/>
    <x:col min="23" max="16384" width="6.875" style="190"/>
  </x:cols>
  <x:sheetData>
    <x:row r="1" spans="2:17">
      <x:c r="F1" s="192">
        <x:f t="shared" ref="F1:Q1" si="0">+F21/F6</x:f>
        <x:v>0.76682496911359543</x:v>
      </x:c>
      <x:c r="G1" s="192">
        <x:f t="shared" si="0"/>
        <x:v>0.76611272858449209</x:v>
      </x:c>
      <x:c r="H1" s="192">
        <x:f t="shared" si="0"/>
        <x:v>0.76564981208636507</x:v>
      </x:c>
      <x:c r="I1" s="192">
        <x:f t="shared" si="0"/>
        <x:v>0.76475523697690606</x:v>
      </x:c>
      <x:c r="J1" s="192">
        <x:f t="shared" si="0"/>
        <x:v>0.76203145166057917</x:v>
      </x:c>
      <x:c r="K1" s="192">
        <x:f t="shared" si="0"/>
        <x:v>0.76557736536687315</x:v>
      </x:c>
      <x:c r="L1" s="192">
        <x:f t="shared" si="0"/>
        <x:v>0.76448280191680751</x:v>
      </x:c>
      <x:c r="M1" s="192">
        <x:f t="shared" si="0"/>
        <x:v>0.76573660848770131</x:v>
      </x:c>
      <x:c r="N1" s="192">
        <x:f t="shared" si="0"/>
        <x:v>0.76567589191560004</x:v>
      </x:c>
      <x:c r="O1" s="192">
        <x:f t="shared" si="0"/>
        <x:v>0.8325135536123156</x:v>
      </x:c>
      <x:c r="P1" s="192">
        <x:f t="shared" si="0"/>
        <x:v>0.8594877598807753</x:v>
      </x:c>
      <x:c r="Q1" s="192">
        <x:f t="shared" si="0"/>
        <x:v>0.85913697736479688</x:v>
      </x:c>
    </x:row>
    <x:row r="2" spans="2:17" ht="27.6" customHeight="1">
      <x:c r="B2" s="193" t="s">
        <x:v>1511</x:v>
      </x:c>
      <x:c r="D2" s="194"/>
      <x:c r="F2" s="192"/>
      <x:c r="G2" s="192"/>
      <x:c r="H2" s="192"/>
      <x:c r="I2" s="192"/>
      <x:c r="J2" s="192"/>
      <x:c r="K2" s="192"/>
      <x:c r="L2" s="192"/>
      <x:c r="M2" s="192"/>
      <x:c r="N2" s="192"/>
      <x:c r="Q2" s="195" t="s">
        <x:v>892</x:v>
      </x:c>
    </x:row>
    <x:row r="3" spans="2:17" ht="14.65" customHeight="1">
      <x:c r="C3" s="196"/>
    </x:row>
    <x:row r="4" spans="2:17" ht="19.899999999999999" customHeight="1">
      <x:c r="B4" s="197" t="s">
        <x:v>421</x:v>
      </x:c>
      <x:c r="C4" s="197"/>
      <x:c r="D4" s="198" t="s">
        <x:v>893</x:v>
      </x:c>
      <x:c r="E4" s="198">
        <x:v>12</x:v>
      </x:c>
      <x:c r="F4" s="199">
        <x:v>1</x:v>
      </x:c>
      <x:c r="G4" s="198">
        <x:v>2</x:v>
      </x:c>
      <x:c r="H4" s="198">
        <x:f>+G4+1</x:f>
        <x:v>3</x:v>
      </x:c>
      <x:c r="I4" s="198">
        <x:f t="shared" ref="I4:P4" si="1">+H4+1</x:f>
        <x:v>4</x:v>
      </x:c>
      <x:c r="J4" s="198">
        <x:f t="shared" si="1"/>
        <x:v>5</x:v>
      </x:c>
      <x:c r="K4" s="198">
        <x:f t="shared" si="1"/>
        <x:v>6</x:v>
      </x:c>
      <x:c r="L4" s="198">
        <x:f t="shared" si="1"/>
        <x:v>7</x:v>
      </x:c>
      <x:c r="M4" s="198">
        <x:f t="shared" si="1"/>
        <x:v>8</x:v>
      </x:c>
      <x:c r="N4" s="198">
        <x:f t="shared" si="1"/>
        <x:v>9</x:v>
      </x:c>
      <x:c r="O4" s="198">
        <x:f t="shared" si="1"/>
        <x:v>10</x:v>
      </x:c>
      <x:c r="P4" s="198">
        <x:f t="shared" si="1"/>
        <x:v>11</x:v>
      </x:c>
      <x:c r="Q4" s="198">
        <x:f>+P4+1</x:f>
        <x:v>12</x:v>
      </x:c>
    </x:row>
    <x:row r="5" spans="2:17" s="200" customFormat="1" ht="20.65" customHeight="1">
      <x:c r="B5" s="201" t="s">
        <x:v>894</x:v>
      </x:c>
      <x:c r="C5" s="201" t="s">
        <x:v>895</x:v>
      </x:c>
      <x:c r="D5" s="202">
        <x:f>SUM(F5:Q5)</x:f>
        <x:v>1856226911.7157671</x:v>
      </x:c>
      <x:c r="E5" s="202"/>
      <x:c r="F5" s="202">
        <x:f t="shared" ref="F5:Q5" si="2">+F6+F14</x:f>
        <x:v>93531067.738191113</x:v>
      </x:c>
      <x:c r="G5" s="202">
        <x:f t="shared" si="2"/>
        <x:v>116722409.25903596</x:v>
      </x:c>
      <x:c r="H5" s="202">
        <x:f t="shared" si="2"/>
        <x:v>166146138.0984455</x:v>
      </x:c>
      <x:c r="I5" s="202">
        <x:f t="shared" si="2"/>
        <x:v>138597698.76818129</x:v>
      </x:c>
      <x:c r="J5" s="202">
        <x:f t="shared" si="2"/>
        <x:v>126824726.75397228</x:v>
      </x:c>
      <x:c r="K5" s="202">
        <x:f t="shared" si="2"/>
        <x:v>193241166.26244107</x:v>
      </x:c>
      <x:c r="L5" s="202">
        <x:f t="shared" si="2"/>
        <x:v>118295188.89315131</x:v>
      </x:c>
      <x:c r="M5" s="202">
        <x:f t="shared" si="2"/>
        <x:v>176135148.80221638</x:v>
      </x:c>
      <x:c r="N5" s="202">
        <x:f t="shared" si="2"/>
        <x:v>159050641.37295532</x:v>
      </x:c>
      <x:c r="O5" s="202">
        <x:f t="shared" si="2"/>
        <x:v>233663506.65726784</x:v>
      </x:c>
      <x:c r="P5" s="202">
        <x:f t="shared" si="2"/>
        <x:v>165587684.97484154</x:v>
      </x:c>
      <x:c r="Q5" s="202">
        <x:f t="shared" si="2"/>
        <x:v>168431534.13506737</x:v>
      </x:c>
    </x:row>
    <x:row r="6" spans="2:17" s="200" customFormat="1">
      <x:c r="B6" s="203" t="s">
        <x:v>896</x:v>
      </x:c>
      <x:c r="C6" s="203" t="s">
        <x:v>897</x:v>
      </x:c>
      <x:c r="D6" s="204">
        <x:f>SUM(F6:Q6)</x:f>
        <x:v>1854696911.7157671</x:v>
      </x:c>
      <x:c r="E6" s="204"/>
      <x:c r="F6" s="204">
        <x:f>SUM(F7:F13)</x:f>
        <x:v>93531067.738191113</x:v>
      </x:c>
      <x:c r="G6" s="204">
        <x:f>SUM(G7:G13)</x:f>
        <x:v>116722409.25903596</x:v>
      </x:c>
      <x:c r="H6" s="204">
        <x:f t="shared" ref="H6:Q6" si="3">SUM(H7:H13)</x:f>
        <x:v>166146138.0984455</x:v>
      </x:c>
      <x:c r="I6" s="204">
        <x:f t="shared" si="3"/>
        <x:v>138597698.76818129</x:v>
      </x:c>
      <x:c r="J6" s="204">
        <x:f t="shared" si="3"/>
        <x:v>126824726.75397228</x:v>
      </x:c>
      <x:c r="K6" s="204">
        <x:f t="shared" si="3"/>
        <x:v>193241166.26244107</x:v>
      </x:c>
      <x:c r="L6" s="204">
        <x:f t="shared" si="3"/>
        <x:v>118295188.89315131</x:v>
      </x:c>
      <x:c r="M6" s="204">
        <x:f t="shared" si="3"/>
        <x:v>176135148.80221638</x:v>
      </x:c>
      <x:c r="N6" s="204">
        <x:f t="shared" si="3"/>
        <x:v>159050641.37295532</x:v>
      </x:c>
      <x:c r="O6" s="204">
        <x:f t="shared" si="3"/>
        <x:v>233663506.65726784</x:v>
      </x:c>
      <x:c r="P6" s="204">
        <x:f t="shared" si="3"/>
        <x:v>165587684.97484154</x:v>
      </x:c>
      <x:c r="Q6" s="204">
        <x:f t="shared" si="3"/>
        <x:v>166901534.13506737</x:v>
      </x:c>
    </x:row>
    <x:row r="7" spans="2:17" ht="16.5">
      <x:c r="B7" s="196"/>
      <x:c r="C7" s="196" t="s">
        <x:v>898</x:v>
      </x:c>
      <x:c r="D7" s="191">
        <x:f t="shared" ref="D7:D32" si="4">SUM(F7:Q7)</x:f>
        <x:v>308229416.2425369</x:v>
      </x:c>
      <x:c r="F7" s="191">
        <x:f>'1. Sales'!J242</x:f>
        <x:v>21737517.40772311</x:v>
      </x:c>
      <x:c r="G7" s="191">
        <x:f>'1. Sales'!K242</x:f>
        <x:v>23596647.186015215</x:v>
      </x:c>
      <x:c r="H7" s="191">
        <x:f>'1. Sales'!L242</x:f>
        <x:v>28172966.640272707</x:v>
      </x:c>
      <x:c r="I7" s="191">
        <x:f>'1. Sales'!M242</x:f>
        <x:v>20593437.544158731</x:v>
      </x:c>
      <x:c r="J7" s="191">
        <x:f>'1. Sales'!N242</x:f>
        <x:v>17018187.970520061</x:v>
      </x:c>
      <x:c r="K7" s="191">
        <x:f>'1. Sales'!O242</x:f>
        <x:v>35466475.770495594</x:v>
      </x:c>
      <x:c r="L7" s="191">
        <x:f>'1. Sales'!P242</x:f>
        <x:v>19592367.663539901</x:v>
      </x:c>
      <x:c r="M7" s="191">
        <x:f>'1. Sales'!Q242</x:f>
        <x:v>31891226.19685692</x:v>
      </x:c>
      <x:c r="N7" s="191">
        <x:f>'1. Sales'!R242</x:f>
        <x:v>31176176.282129191</x:v>
      </x:c>
      <x:c r="O7" s="191">
        <x:f>'1. Sales'!S242</x:f>
        <x:v>24254493.107564729</x:v>
      </x:c>
      <x:c r="P7" s="191">
        <x:f>'1. Sales'!T242</x:f>
        <x:v>26571254.831282586</x:v>
      </x:c>
      <x:c r="Q7" s="191">
        <x:f>'1. Sales'!U242</x:f>
        <x:v>28158665.641978156</x:v>
      </x:c>
    </x:row>
    <x:row r="8" spans="2:17" ht="16.5">
      <x:c r="B8" s="196"/>
      <x:c r="C8" s="196" t="s">
        <x:v>899</x:v>
      </x:c>
      <x:c r="D8" s="191">
        <x:f t="shared" si="4"/>
        <x:v>164122772.53303403</x:v>
      </x:c>
      <x:c r="F8" s="191">
        <x:f>'1. Sales'!J248</x:f>
        <x:v>11440798.635643739</x:v>
      </x:c>
      <x:c r="G8" s="191">
        <x:f>'1. Sales'!K248</x:f>
        <x:v>10236504.042418083</x:v>
      </x:c>
      <x:c r="H8" s="191">
        <x:f>'1. Sales'!L248</x:f>
        <x:v>12645093.228869397</x:v>
      </x:c>
      <x:c r="I8" s="191">
        <x:f>'1. Sales'!M248</x:f>
        <x:v>12645093.228869397</x:v>
      </x:c>
      <x:c r="J8" s="191">
        <x:f>'1. Sales'!N248</x:f>
        <x:v>13849387.822095053</x:v>
      </x:c>
      <x:c r="K8" s="191">
        <x:f>'1. Sales'!O248</x:f>
        <x:v>18666566.194997683</x:v>
      </x:c>
      <x:c r="L8" s="191">
        <x:f>'1. Sales'!P248</x:f>
        <x:v>13247240.525482224</x:v>
      </x:c>
      <x:c r="M8" s="191">
        <x:f>'1. Sales'!Q248</x:f>
        <x:v>13548314.173788643</x:v>
      </x:c>
      <x:c r="N8" s="191">
        <x:f>'1. Sales'!R248</x:f>
        <x:v>14105300.423155507</x:v>
      </x:c>
      <x:c r="O8" s="191">
        <x:f>'1. Sales'!S248</x:f>
        <x:v>14346159.341800638</x:v>
      </x:c>
      <x:c r="P8" s="191">
        <x:f>'1. Sales'!T248</x:f>
        <x:v>14632179.307691731</x:v>
      </x:c>
      <x:c r="Q8" s="191">
        <x:f>'1. Sales'!U248</x:f>
        <x:v>14760135.608221957</x:v>
      </x:c>
    </x:row>
    <x:row r="9" spans="2:17" ht="16.5">
      <x:c r="B9" s="196"/>
      <x:c r="C9" s="196" t="s">
        <x:v>1063</x:v>
      </x:c>
      <x:c r="D9" s="191">
        <x:f t="shared" si="4"/>
        <x:v>618493354.81516206</x:v>
      </x:c>
      <x:c r="F9" s="191">
        <x:f>'1. Sales'!J262</x:f>
        <x:v>39254495.108458742</x:v>
      </x:c>
      <x:c r="G9" s="191">
        <x:f>'1. Sales'!K262</x:f>
        <x:v>40331839.036086105</x:v>
      </x:c>
      <x:c r="H9" s="191">
        <x:f>'1. Sales'!L262</x:f>
        <x:v>77686291.217638403</x:v>
      </x:c>
      <x:c r="I9" s="191">
        <x:f>'1. Sales'!M262</x:f>
        <x:v>65698391.513857588</x:v>
      </x:c>
      <x:c r="J9" s="191">
        <x:f>'1. Sales'!N262</x:f>
        <x:v>52476443.311158188</x:v>
      </x:c>
      <x:c r="K9" s="191">
        <x:f>'1. Sales'!O262</x:f>
        <x:v>83131775.07000941</x:v>
      </x:c>
      <x:c r="L9" s="191">
        <x:f>'1. Sales'!P262</x:f>
        <x:v>50556812.312840335</x:v>
      </x:c>
      <x:c r="M9" s="191">
        <x:f>'1. Sales'!Q262</x:f>
        <x:v>79958507.501361564</x:v>
      </x:c>
      <x:c r="N9" s="191">
        <x:f>'1. Sales'!R262</x:f>
        <x:v>66619030.870193705</x:v>
      </x:c>
      <x:c r="O9" s="191">
        <x:f>'1. Sales'!S262</x:f>
        <x:v>62779768.873558022</x:v>
      </x:c>
      <x:c r="P9" s="191">
        <x:f>'1. Sales'!T262</x:f>
        <x:v>0</x:v>
      </x:c>
      <x:c r="Q9" s="191">
        <x:f>'1. Sales'!U262</x:f>
        <x:v>0</x:v>
      </x:c>
    </x:row>
    <x:row r="10" spans="2:17" ht="16.5">
      <x:c r="B10" s="196"/>
      <x:c r="C10" s="196" t="s">
        <x:v>1064</x:v>
      </x:c>
      <x:c r="D10" s="191">
        <x:f t="shared" si="4"/>
        <x:v>144571267.25202295</x:v>
      </x:c>
      <x:c r="F10" s="191">
        <x:f>'1. Sales'!J276</x:f>
        <x:v>1339958.9863655341</x:v>
      </x:c>
      <x:c r="G10" s="191">
        <x:f>'1. Sales'!K276</x:f>
        <x:v>11503032.5291072</x:v>
      </x:c>
      <x:c r="H10" s="191">
        <x:f>'1. Sales'!L276</x:f>
        <x:v>20202458.563664977</x:v>
      </x:c>
      <x:c r="I10" s="191">
        <x:f>'1. Sales'!M276</x:f>
        <x:v>16141352.097295592</x:v>
      </x:c>
      <x:c r="J10" s="191">
        <x:f>'1. Sales'!N276</x:f>
        <x:v>12121475.138198985</x:v>
      </x:c>
      <x:c r="K10" s="191">
        <x:f>'1. Sales'!O276</x:f>
        <x:v>20697212.650938399</x:v>
      </x:c>
      <x:c r="L10" s="191">
        <x:f>'1. Sales'!P276</x:f>
        <x:v>11379344.007288845</x:v>
      </x:c>
      <x:c r="M10" s="191">
        <x:f>'1. Sales'!Q276</x:f>
        <x:v>19377868.418209266</x:v>
      </x:c>
      <x:c r="N10" s="191">
        <x:f>'1. Sales'!R276</x:f>
        <x:v>15790901.285476916</x:v>
      </x:c>
      <x:c r="O10" s="191">
        <x:f>'1. Sales'!S276</x:f>
        <x:v>16017663.575477233</x:v>
      </x:c>
      <x:c r="P10" s="191">
        <x:f>'1. Sales'!T276</x:f>
        <x:v>0</x:v>
      </x:c>
      <x:c r="Q10" s="191">
        <x:f>'1. Sales'!U276</x:f>
        <x:v>0</x:v>
      </x:c>
    </x:row>
    <x:row r="11" spans="2:17" ht="16.5">
      <x:c r="B11" s="196"/>
      <x:c r="C11" s="196" t="s">
        <x:v>900</x:v>
      </x:c>
      <x:c r="D11" s="191">
        <x:f t="shared" si="4"/>
        <x:v>318957745.185</x:v>
      </x:c>
      <x:c r="F11" s="191">
        <x:f>'1. Sales'!J290</x:f>
        <x:v>18887592.959999997</x:v>
      </x:c>
      <x:c r="G11" s="191">
        <x:f>'1. Sales'!K290</x:f>
        <x:v>28331389.439999998</x:v>
      </x:c>
      <x:c r="H11" s="191">
        <x:f>'1. Sales'!L290</x:f>
        <x:v>26423506.368000001</x:v>
      </x:c>
      <x:c r="I11" s="191">
        <x:f>'1. Sales'!M290</x:f>
        <x:v>22648719.744000003</x:v>
      </x:c>
      <x:c r="J11" s="191">
        <x:f>'1. Sales'!N290</x:f>
        <x:v>30198292.991999995</x:v>
      </x:c>
      <x:c r="K11" s="191">
        <x:f>'1. Sales'!O290</x:f>
        <x:v>33973079.616000004</x:v>
      </x:c>
      <x:c r="L11" s="191">
        <x:f>'1. Sales'!P290</x:f>
        <x:v>22648719.744000003</x:v>
      </x:c>
      <x:c r="M11" s="191">
        <x:f>'1. Sales'!Q290</x:f>
        <x:v>30198292.991999995</x:v>
      </x:c>
      <x:c r="N11" s="191">
        <x:f>'1. Sales'!R290</x:f>
        <x:v>30198292.991999995</x:v>
      </x:c>
      <x:c r="O11" s="191">
        <x:f>'1. Sales'!S290</x:f>
        <x:v>20066660.838</x:v>
      </x:c>
      <x:c r="P11" s="191">
        <x:f>'1. Sales'!T290</x:f>
        <x:v>27884925.495000001</x:v>
      </x:c>
      <x:c r="Q11" s="191">
        <x:f>'1. Sales'!U290</x:f>
        <x:v>27498272.004000004</x:v>
      </x:c>
    </x:row>
    <x:row r="12" spans="2:17" ht="16.5">
      <x:c r="B12" s="196"/>
      <x:c r="C12" s="196" t="s">
        <x:v>643</x:v>
      </x:c>
      <x:c r="D12" s="191">
        <x:f t="shared" si="4"/>
        <x:v>280523889.13404846</x:v>
      </x:c>
      <x:c r="F12" s="191">
        <x:f>'1. Sales'!J308</x:f>
        <x:v>0</x:v>
      </x:c>
      <x:c r="G12" s="191">
        <x:f>'1. Sales'!K308</x:f>
        <x:v>1378803.8509243303</x:v>
      </x:c>
      <x:c r="H12" s="191">
        <x:f>'1. Sales'!L308</x:f>
        <x:v>0</x:v>
      </x:c>
      <x:c r="I12" s="191">
        <x:f>'1. Sales'!M308</x:f>
        <x:v>0</x:v>
      </x:c>
      <x:c r="J12" s="191">
        <x:f>'1. Sales'!N308</x:f>
        <x:v>0</x:v>
      </x:c>
      <x:c r="K12" s="191">
        <x:f>'1. Sales'!O308</x:f>
        <x:v>0</x:v>
      </x:c>
      <x:c r="L12" s="191">
        <x:f>'1. Sales'!P308</x:f>
        <x:v>0</x:v>
      </x:c>
      <x:c r="M12" s="191">
        <x:f>'1. Sales'!Q308</x:f>
        <x:v>0</x:v>
      </x:c>
      <x:c r="N12" s="191">
        <x:f>'1. Sales'!R308</x:f>
        <x:v>0</x:v>
      </x:c>
      <x:c r="O12" s="191">
        <x:f>'1. Sales'!S308</x:f>
        <x:v>93048361.761041373</x:v>
      </x:c>
      <x:c r="P12" s="191">
        <x:f>'1. Sales'!T308</x:f>
        <x:v>93048361.761041373</x:v>
      </x:c>
      <x:c r="Q12" s="191">
        <x:f>'1. Sales'!U308</x:f>
        <x:v>93048361.761041373</x:v>
      </x:c>
    </x:row>
    <x:row r="13" spans="2:17" ht="16.5">
      <x:c r="C13" s="2" t="s">
        <x:v>901</x:v>
      </x:c>
      <x:c r="D13" s="191">
        <x:f t="shared" si="4"/>
        <x:v>19798466.553962626</x:v>
      </x:c>
      <x:c r="F13" s="191">
        <x:f>'1. Sales'!J294+'1. Sales'!J317</x:f>
        <x:v>870704.64000000013</x:v>
      </x:c>
      <x:c r="G13" s="191">
        <x:f>'1. Sales'!K294+'1. Sales'!K317</x:f>
        <x:v>1344193.174485049</x:v>
      </x:c>
      <x:c r="H13" s="191">
        <x:f>'1. Sales'!L294+'1. Sales'!L317</x:f>
        <x:v>1015822.0800000001</x:v>
      </x:c>
      <x:c r="I13" s="191">
        <x:f>'1. Sales'!M294+'1. Sales'!M317</x:f>
        <x:v>870704.64000000013</x:v>
      </x:c>
      <x:c r="J13" s="191">
        <x:f>'1. Sales'!N294+'1. Sales'!N317</x:f>
        <x:v>1160939.52</x:v>
      </x:c>
      <x:c r="K13" s="191">
        <x:f>'1. Sales'!O294+'1. Sales'!O317</x:f>
        <x:v>1306056.96</x:v>
      </x:c>
      <x:c r="L13" s="191">
        <x:f>'1. Sales'!P294+'1. Sales'!P317</x:f>
        <x:v>870704.64000000013</x:v>
      </x:c>
      <x:c r="M13" s="191">
        <x:f>'1. Sales'!Q294+'1. Sales'!Q317</x:f>
        <x:v>1160939.52</x:v>
      </x:c>
      <x:c r="N13" s="191">
        <x:f>'1. Sales'!R294+'1. Sales'!R317</x:f>
        <x:v>1160939.52</x:v>
      </x:c>
      <x:c r="O13" s="191">
        <x:f>'1. Sales'!S294+'1. Sales'!S317</x:f>
        <x:v>3150399.1598258596</x:v>
      </x:c>
      <x:c r="P13" s="191">
        <x:f>'1. Sales'!T294+'1. Sales'!T317</x:f>
        <x:v>3450963.5798258595</x:v>
      </x:c>
      <x:c r="Q13" s="191">
        <x:f>'1. Sales'!U294+'1. Sales'!U317</x:f>
        <x:v>3436099.1198258596</x:v>
      </x:c>
    </x:row>
    <x:row r="14" spans="2:17" s="200" customFormat="1" ht="16.5">
      <x:c r="B14" s="203" t="s">
        <x:v>902</x:v>
      </x:c>
      <x:c r="C14" s="203" t="s">
        <x:v>903</x:v>
      </x:c>
      <x:c r="D14" s="204">
        <x:f t="shared" si="4"/>
        <x:v>1530000</x:v>
      </x:c>
      <x:c r="E14" s="204"/>
      <x:c r="F14" s="204">
        <x:f>SUM(F15:F18)</x:f>
        <x:v>0</x:v>
      </x:c>
      <x:c r="G14" s="204">
        <x:f>SUM(G15:G18)</x:f>
        <x:v>0</x:v>
      </x:c>
      <x:c r="H14" s="204">
        <x:f>SUM(H15:H18)</x:f>
        <x:v>0</x:v>
      </x:c>
      <x:c r="I14" s="204">
        <x:f>SUM(I15:I18)</x:f>
        <x:v>0</x:v>
      </x:c>
      <x:c r="J14" s="204">
        <x:f>SUM(J15:J18)</x:f>
        <x:v>0</x:v>
      </x:c>
      <x:c r="K14" s="204">
        <x:f t="shared" ref="K14:Q14" si="5">SUM(K15:K18)</x:f>
        <x:v>0</x:v>
      </x:c>
      <x:c r="L14" s="204">
        <x:f t="shared" si="5"/>
        <x:v>0</x:v>
      </x:c>
      <x:c r="M14" s="204">
        <x:f t="shared" si="5"/>
        <x:v>0</x:v>
      </x:c>
      <x:c r="N14" s="204">
        <x:f t="shared" si="5"/>
        <x:v>0</x:v>
      </x:c>
      <x:c r="O14" s="204">
        <x:f t="shared" si="5"/>
        <x:v>0</x:v>
      </x:c>
      <x:c r="P14" s="204">
        <x:f t="shared" si="5"/>
        <x:v>0</x:v>
      </x:c>
      <x:c r="Q14" s="204">
        <x:f t="shared" si="5"/>
        <x:v>1530000</x:v>
      </x:c>
    </x:row>
    <x:row r="15" spans="2:17">
      <x:c r="B15" s="190" t="s">
        <x:v>904</x:v>
      </x:c>
      <x:c r="C15" s="190" t="s">
        <x:v>905</x:v>
      </x:c>
      <x:c r="D15" s="191">
        <x:f t="shared" si="4"/>
        <x:v>0</x:v>
      </x:c>
    </x:row>
    <x:row r="16" spans="2:17">
      <x:c r="B16" s="190" t="s">
        <x:v>906</x:v>
      </x:c>
      <x:c r="C16" s="190" t="s">
        <x:v>906</x:v>
      </x:c>
      <x:c r="D16" s="191">
        <x:f t="shared" si="4"/>
        <x:v>0</x:v>
      </x:c>
    </x:row>
    <x:row r="17" spans="2:22">
      <x:c r="B17" s="190" t="s">
        <x:v>907</x:v>
      </x:c>
      <x:c r="C17" s="190" t="s">
        <x:v>908</x:v>
      </x:c>
      <x:c r="D17" s="191">
        <x:f t="shared" si="4"/>
        <x:v>1530000</x:v>
      </x:c>
      <x:c r="Q17" s="191">
        <x:f>30000*'Exchange Rate'!D14</x:f>
        <x:v>1530000</x:v>
      </x:c>
      <x:c r="U17" s="951">
        <x:v>30000</x:v>
      </x:c>
      <x:c r="V17" s="308" t="s">
        <x:v>1065</x:v>
      </x:c>
    </x:row>
    <x:row r="18" spans="2:22">
      <x:c r="B18" s="190" t="s">
        <x:v>909</x:v>
      </x:c>
      <x:c r="C18" s="190" t="s">
        <x:v>910</x:v>
      </x:c>
      <x:c r="D18" s="191">
        <x:f t="shared" si="4"/>
        <x:v>0</x:v>
      </x:c>
      <x:c r="T18" s="200"/>
    </x:row>
    <x:row r="19" spans="2:22">
      <x:c r="D19" s="192">
        <x:f>+D20/D5</x:f>
        <x:v>0.7899152609879031</x:v>
      </x:c>
      <x:c r="F19" s="192">
        <x:f t="shared" ref="F19:Q19" si="6">IFERROR(F20/F5,"")</x:f>
        <x:v>0.76682496911359543</x:v>
      </x:c>
      <x:c r="G19" s="192">
        <x:f t="shared" si="6"/>
        <x:v>0.76611272858449209</x:v>
      </x:c>
      <x:c r="H19" s="192">
        <x:f t="shared" si="6"/>
        <x:v>0.76564981208636507</x:v>
      </x:c>
      <x:c r="I19" s="192">
        <x:f t="shared" si="6"/>
        <x:v>0.76475523697690606</x:v>
      </x:c>
      <x:c r="J19" s="192">
        <x:f t="shared" si="6"/>
        <x:v>0.76203145166057917</x:v>
      </x:c>
      <x:c r="K19" s="192">
        <x:f t="shared" si="6"/>
        <x:v>0.76557736536687315</x:v>
      </x:c>
      <x:c r="L19" s="192">
        <x:f t="shared" si="6"/>
        <x:v>0.76448280191680751</x:v>
      </x:c>
      <x:c r="M19" s="192">
        <x:f t="shared" si="6"/>
        <x:v>0.76573660848770131</x:v>
      </x:c>
      <x:c r="N19" s="192">
        <x:f t="shared" si="6"/>
        <x:v>0.76567589191560004</x:v>
      </x:c>
      <x:c r="O19" s="192">
        <x:f t="shared" si="6"/>
        <x:v>0.8325135536123156</x:v>
      </x:c>
      <x:c r="P19" s="192">
        <x:f t="shared" si="6"/>
        <x:v>0.8594877598807753</x:v>
      </x:c>
      <x:c r="Q19" s="192">
        <x:f t="shared" si="6"/>
        <x:v>0.85133274057435093</x:v>
      </x:c>
      <x:c r="R19" s="192"/>
      <x:c r="S19" s="192"/>
      <x:c r="T19" s="200"/>
      <x:c r="U19" s="190" t="s">
        <x:v>1204</x:v>
      </x:c>
      <x:c r="V19" s="2"/>
    </x:row>
    <x:row r="20" spans="2:22" s="200" customFormat="1" ht="21.6" customHeight="1">
      <x:c r="B20" s="201" t="s">
        <x:v>911</x:v>
      </x:c>
      <x:c r="C20" s="201" t="s">
        <x:v>912</x:v>
      </x:c>
      <x:c r="D20" s="202">
        <x:f t="shared" si="4"/>
        <x:v>1466261965.4207296</x:v>
      </x:c>
      <x:c r="E20" s="202"/>
      <x:c r="F20" s="202">
        <x:f t="shared" ref="F20:Q20" si="7">+F21+F27</x:f>
        <x:v>71721958.129500002</x:v>
      </x:c>
      <x:c r="G20" s="202">
        <x:f t="shared" si="7"/>
        <x:v>89422523.444395825</x:v>
      </x:c>
      <x:c r="H20" s="202">
        <x:f t="shared" si="7"/>
        <x:v>127209759.41395006</x:v>
      </x:c>
      <x:c r="I20" s="202">
        <x:f t="shared" si="7"/>
        <x:v>105993315.96591432</x:v>
      </x:c>
      <x:c r="J20" s="202">
        <x:f t="shared" si="7"/>
        <x:v>96644430.634785786</x:v>
      </x:c>
      <x:c r="K20" s="202">
        <x:f t="shared" si="7"/>
        <x:v>147941062.94762152</x:v>
      </x:c>
      <x:c r="L20" s="202">
        <x:f t="shared" si="7"/>
        <x:v>90434637.458314329</x:v>
      </x:c>
      <x:c r="M20" s="202">
        <x:f t="shared" si="7"/>
        <x:v>134873131.47928578</x:v>
      </x:c>
      <x:c r="N20" s="202">
        <x:f t="shared" si="7"/>
        <x:v>121781241.6929858</x:v>
      </x:c>
      <x:c r="O20" s="202">
        <x:f t="shared" si="7"/>
        <x:v>194528036.276757</x:v>
      </x:c>
      <x:c r="P20" s="202">
        <x:f t="shared" si="7"/>
        <x:v>142320588.42287007</x:v>
      </x:c>
      <x:c r="Q20" s="202">
        <x:f t="shared" si="7"/>
        <x:v>143391279.55434924</x:v>
      </x:c>
      <x:c r="R20" s="202"/>
      <x:c r="S20" s="202"/>
      <x:c r="U20" s="205"/>
      <x:c r="V20" s="2"/>
    </x:row>
    <x:row r="21" spans="2:22">
      <x:c r="B21" s="207" t="s">
        <x:v>913</x:v>
      </x:c>
      <x:c r="C21" s="207" t="s">
        <x:v>914</x:v>
      </x:c>
      <x:c r="D21" s="208">
        <x:f t="shared" si="4"/>
        <x:v>1466261965.4207296</x:v>
      </x:c>
      <x:c r="E21" s="208"/>
      <x:c r="F21" s="208">
        <x:f>+F22+F23+F24-F25-F26</x:f>
        <x:v>71721958.129500002</x:v>
      </x:c>
      <x:c r="G21" s="208">
        <x:f>+G22+G23+G24-G25-G26</x:f>
        <x:v>89422523.444395825</x:v>
      </x:c>
      <x:c r="H21" s="208">
        <x:f t="shared" ref="H21:Q21" si="8">+H22+H23+H24-H25-H26</x:f>
        <x:v>127209759.41395006</x:v>
      </x:c>
      <x:c r="I21" s="208">
        <x:f t="shared" si="8"/>
        <x:v>105993315.96591432</x:v>
      </x:c>
      <x:c r="J21" s="208">
        <x:f t="shared" si="8"/>
        <x:v>96644430.634785786</x:v>
      </x:c>
      <x:c r="K21" s="208">
        <x:f t="shared" si="8"/>
        <x:v>147941062.94762152</x:v>
      </x:c>
      <x:c r="L21" s="208">
        <x:f t="shared" si="8"/>
        <x:v>90434637.458314329</x:v>
      </x:c>
      <x:c r="M21" s="208">
        <x:f t="shared" si="8"/>
        <x:v>134873131.47928578</x:v>
      </x:c>
      <x:c r="N21" s="208">
        <x:f t="shared" si="8"/>
        <x:v>121781241.6929858</x:v>
      </x:c>
      <x:c r="O21" s="208">
        <x:f t="shared" si="8"/>
        <x:v>194528036.276757</x:v>
      </x:c>
      <x:c r="P21" s="208">
        <x:f t="shared" si="8"/>
        <x:v>142320588.42287007</x:v>
      </x:c>
      <x:c r="Q21" s="208">
        <x:f t="shared" si="8"/>
        <x:v>143391279.55434924</x:v>
      </x:c>
      <x:c r="R21" s="208"/>
      <x:c r="S21" s="208"/>
      <x:c r="U21" s="205"/>
      <x:c r="V21" s="2"/>
    </x:row>
    <x:row r="22" spans="2:22">
      <x:c r="B22" s="209" t="s">
        <x:v>915</x:v>
      </x:c>
      <x:c r="C22" s="209" t="s">
        <x:v>916</x:v>
      </x:c>
      <x:c r="D22" s="191">
        <x:f>+F22</x:f>
        <x:v>0</x:v>
      </x:c>
      <x:c r="V22" s="2"/>
    </x:row>
    <x:row r="23" spans="2:22" ht="16.5">
      <x:c r="B23" s="209" t="s">
        <x:v>917</x:v>
      </x:c>
      <x:c r="C23" s="209" t="s">
        <x:v>918</x:v>
      </x:c>
      <x:c r="D23" s="191">
        <x:f t="shared" si="4"/>
        <x:v>1466261965.4207296</x:v>
      </x:c>
      <x:c r="F23" s="191">
        <x:f>'1. Sales'!J559</x:f>
        <x:v>71721958.129500002</x:v>
      </x:c>
      <x:c r="G23" s="191">
        <x:f>'1. Sales'!K559</x:f>
        <x:v>89422523.444395825</x:v>
      </x:c>
      <x:c r="H23" s="191">
        <x:f>'1. Sales'!L559</x:f>
        <x:v>127209759.41395006</x:v>
      </x:c>
      <x:c r="I23" s="191">
        <x:f>'1. Sales'!M559</x:f>
        <x:v>105993315.96591432</x:v>
      </x:c>
      <x:c r="J23" s="191">
        <x:f>'1. Sales'!N559</x:f>
        <x:v>96644430.634785786</x:v>
      </x:c>
      <x:c r="K23" s="191">
        <x:f>'1. Sales'!O559</x:f>
        <x:v>147941062.94762152</x:v>
      </x:c>
      <x:c r="L23" s="191">
        <x:f>'1. Sales'!P559</x:f>
        <x:v>90434637.458314329</x:v>
      </x:c>
      <x:c r="M23" s="191">
        <x:f>'1. Sales'!Q559</x:f>
        <x:v>134873131.47928578</x:v>
      </x:c>
      <x:c r="N23" s="191">
        <x:f>'1. Sales'!R559</x:f>
        <x:v>121781241.6929858</x:v>
      </x:c>
      <x:c r="O23" s="191">
        <x:f>'1. Sales'!S559</x:f>
        <x:v>194528036.276757</x:v>
      </x:c>
      <x:c r="P23" s="191">
        <x:f>'1. Sales'!T559</x:f>
        <x:v>142320588.42287007</x:v>
      </x:c>
      <x:c r="Q23" s="191">
        <x:f>'1. Sales'!U559</x:f>
        <x:v>143391279.55434924</x:v>
      </x:c>
      <x:c r="U23" s="205"/>
      <x:c r="V23"/>
    </x:row>
    <x:row r="24" spans="2:22" ht="16.5">
      <x:c r="B24" s="209" t="s">
        <x:v>919</x:v>
      </x:c>
      <x:c r="C24" s="209" t="s">
        <x:v>920</x:v>
      </x:c>
      <x:c r="D24" s="191">
        <x:f t="shared" si="4"/>
        <x:v>0</x:v>
      </x:c>
      <x:c r="O24" s="206"/>
      <x:c r="U24" s="205"/>
      <x:c r="V24"/>
    </x:row>
    <x:row r="25" spans="2:22" ht="16.5">
      <x:c r="B25" s="209" t="s">
        <x:v>921</x:v>
      </x:c>
      <x:c r="C25" s="209" t="s">
        <x:v>922</x:v>
      </x:c>
      <x:c r="D25" s="191">
        <x:f t="shared" si="4"/>
        <x:v>0</x:v>
      </x:c>
      <x:c r="U25" s="205"/>
      <x:c r="V25"/>
    </x:row>
    <x:row r="26" spans="2:22" ht="16.5">
      <x:c r="B26" s="209" t="s">
        <x:v>923</x:v>
      </x:c>
      <x:c r="C26" s="209" t="s">
        <x:v>924</x:v>
      </x:c>
      <x:c r="D26" s="191">
        <x:f t="shared" si="4"/>
        <x:v>0</x:v>
      </x:c>
      <x:c r="U26" s="205"/>
      <x:c r="V26"/>
    </x:row>
    <x:row r="27" spans="2:22" ht="16.5">
      <x:c r="B27" s="207" t="s">
        <x:v>925</x:v>
      </x:c>
      <x:c r="C27" s="207" t="s">
        <x:v>926</x:v>
      </x:c>
      <x:c r="D27" s="208">
        <x:f t="shared" si="4"/>
        <x:v>0</x:v>
      </x:c>
      <x:c r="E27" s="208"/>
      <x:c r="F27" s="208">
        <x:f>SUM(F28:F31)</x:f>
        <x:v>0</x:v>
      </x:c>
      <x:c r="G27" s="208">
        <x:f t="shared" ref="G27:Q27" si="9">SUM(G28:G31)</x:f>
        <x:v>0</x:v>
      </x:c>
      <x:c r="H27" s="208">
        <x:f t="shared" si="9"/>
        <x:v>0</x:v>
      </x:c>
      <x:c r="I27" s="208">
        <x:f t="shared" si="9"/>
        <x:v>0</x:v>
      </x:c>
      <x:c r="J27" s="208">
        <x:f t="shared" si="9"/>
        <x:v>0</x:v>
      </x:c>
      <x:c r="K27" s="208">
        <x:f t="shared" si="9"/>
        <x:v>0</x:v>
      </x:c>
      <x:c r="L27" s="208">
        <x:f t="shared" si="9"/>
        <x:v>0</x:v>
      </x:c>
      <x:c r="M27" s="208">
        <x:f t="shared" si="9"/>
        <x:v>0</x:v>
      </x:c>
      <x:c r="N27" s="208">
        <x:f t="shared" si="9"/>
        <x:v>0</x:v>
      </x:c>
      <x:c r="O27" s="208">
        <x:f t="shared" si="9"/>
        <x:v>0</x:v>
      </x:c>
      <x:c r="P27" s="208">
        <x:f t="shared" si="9"/>
        <x:v>0</x:v>
      </x:c>
      <x:c r="Q27" s="208">
        <x:f t="shared" si="9"/>
        <x:v>0</x:v>
      </x:c>
      <x:c r="R27" s="208"/>
      <x:c r="S27" s="208"/>
      <x:c r="T27" s="206"/>
      <x:c r="U27" s="205"/>
      <x:c r="V27"/>
    </x:row>
    <x:row r="28" spans="2:22" s="206" customFormat="1" ht="16.5">
      <x:c r="B28" s="206" t="s">
        <x:v>927</x:v>
      </x:c>
      <x:c r="C28" s="206" t="s">
        <x:v>928</x:v>
      </x:c>
      <x:c r="D28" s="210">
        <x:f t="shared" si="4"/>
        <x:v>0</x:v>
      </x:c>
      <x:c r="E28" s="210"/>
      <x:c r="F28" s="210"/>
      <x:c r="G28" s="210"/>
      <x:c r="H28" s="210"/>
      <x:c r="I28" s="210"/>
      <x:c r="J28" s="210"/>
      <x:c r="K28" s="210"/>
      <x:c r="L28" s="210"/>
      <x:c r="M28" s="210"/>
      <x:c r="N28" s="210"/>
      <x:c r="O28" s="210"/>
      <x:c r="P28" s="210"/>
      <x:c r="Q28" s="210"/>
      <x:c r="R28" s="210"/>
      <x:c r="S28" s="210"/>
      <x:c r="U28" s="205"/>
      <x:c r="V28"/>
    </x:row>
    <x:row r="29" spans="2:22" s="206" customFormat="1" ht="16.5">
      <x:c r="B29" s="206" t="s">
        <x:v>929</x:v>
      </x:c>
      <x:c r="C29" s="206" t="s">
        <x:v>930</x:v>
      </x:c>
      <x:c r="D29" s="210">
        <x:f t="shared" si="4"/>
        <x:v>0</x:v>
      </x:c>
      <x:c r="E29" s="210"/>
      <x:c r="F29" s="191"/>
      <x:c r="G29" s="191"/>
      <x:c r="H29" s="191"/>
      <x:c r="I29" s="191"/>
      <x:c r="J29" s="191"/>
      <x:c r="K29" s="191"/>
      <x:c r="L29" s="191"/>
      <x:c r="M29" s="191"/>
      <x:c r="N29" s="191"/>
      <x:c r="O29" s="191"/>
      <x:c r="P29" s="191"/>
      <x:c r="Q29" s="191"/>
      <x:c r="R29" s="191"/>
      <x:c r="S29" s="191"/>
      <x:c r="U29" s="205"/>
      <x:c r="V29"/>
    </x:row>
    <x:row r="30" spans="2:22" s="206" customFormat="1" ht="16.5">
      <x:c r="B30" s="190" t="s">
        <x:v>931</x:v>
      </x:c>
      <x:c r="C30" s="190" t="s">
        <x:v>932</x:v>
      </x:c>
      <x:c r="D30" s="210">
        <x:f t="shared" si="4"/>
        <x:v>0</x:v>
      </x:c>
      <x:c r="E30" s="210"/>
      <x:c r="F30" s="191"/>
      <x:c r="G30" s="191"/>
      <x:c r="H30" s="191"/>
      <x:c r="I30" s="191"/>
      <x:c r="J30" s="191"/>
      <x:c r="K30" s="191"/>
      <x:c r="L30" s="191"/>
      <x:c r="M30" s="191"/>
      <x:c r="N30" s="191"/>
      <x:c r="O30" s="191"/>
      <x:c r="P30" s="191"/>
      <x:c r="Q30" s="191"/>
      <x:c r="R30" s="191"/>
      <x:c r="S30" s="191"/>
      <x:c r="U30" s="205"/>
      <x:c r="V30"/>
    </x:row>
    <x:row r="31" spans="2:22" ht="16.5">
      <x:c r="B31" s="190" t="s">
        <x:v>933</x:v>
      </x:c>
      <x:c r="C31" s="190" t="s">
        <x:v>934</x:v>
      </x:c>
      <x:c r="D31" s="191">
        <x:f t="shared" si="4"/>
        <x:v>0</x:v>
      </x:c>
      <x:c r="T31" s="200"/>
      <x:c r="U31" s="205"/>
      <x:c r="V31"/>
    </x:row>
    <x:row r="32" spans="2:22" s="200" customFormat="1" ht="17.649999999999999" customHeight="1">
      <x:c r="B32" s="201" t="s">
        <x:v>935</x:v>
      </x:c>
      <x:c r="C32" s="201" t="s">
        <x:v>936</x:v>
      </x:c>
      <x:c r="D32" s="202">
        <x:f t="shared" si="4"/>
        <x:v>389964946.29503727</x:v>
      </x:c>
      <x:c r="E32" s="202"/>
      <x:c r="F32" s="202">
        <x:f t="shared" ref="F32:Q32" si="10">+F5-F20</x:f>
        <x:v>21809109.608691111</x:v>
      </x:c>
      <x:c r="G32" s="202">
        <x:f t="shared" si="10"/>
        <x:v>27299885.814640135</x:v>
      </x:c>
      <x:c r="H32" s="202">
        <x:f t="shared" si="10"/>
        <x:v>38936378.684495449</x:v>
      </x:c>
      <x:c r="I32" s="202">
        <x:f t="shared" si="10"/>
        <x:v>32604382.80226697</x:v>
      </x:c>
      <x:c r="J32" s="202">
        <x:f t="shared" si="10"/>
        <x:v>30180296.119186491</x:v>
      </x:c>
      <x:c r="K32" s="202">
        <x:f t="shared" si="10"/>
        <x:v>45300103.314819545</x:v>
      </x:c>
      <x:c r="L32" s="202">
        <x:f t="shared" si="10"/>
        <x:v>27860551.434836984</x:v>
      </x:c>
      <x:c r="M32" s="202">
        <x:f t="shared" si="10"/>
        <x:v>41262017.322930604</x:v>
      </x:c>
      <x:c r="N32" s="202">
        <x:f t="shared" si="10"/>
        <x:v>37269399.679969519</x:v>
      </x:c>
      <x:c r="O32" s="202">
        <x:f t="shared" si="10"/>
        <x:v>39135470.380510837</x:v>
      </x:c>
      <x:c r="P32" s="202">
        <x:f t="shared" si="10"/>
        <x:v>23267096.551971465</x:v>
      </x:c>
      <x:c r="Q32" s="202">
        <x:f t="shared" si="10"/>
        <x:v>25040254.58071813</x:v>
      </x:c>
      <x:c r="R32" s="202"/>
      <x:c r="S32" s="202"/>
      <x:c r="T32" s="211"/>
      <x:c r="U32" s="205"/>
      <x:c r="V32"/>
    </x:row>
    <x:row r="33" spans="2:17" s="211" customFormat="1" ht="16.5">
      <x:c r="B33" s="211" t="s">
        <x:v>937</x:v>
      </x:c>
      <x:c r="C33" s="211" t="s">
        <x:v>938</x:v>
      </x:c>
      <x:c r="D33" s="212">
        <x:f>+IFERROR(D32/D5,)</x:f>
        <x:v>0.21008473901209673</x:v>
      </x:c>
      <x:c r="E33" s="212"/>
      <x:c r="F33" s="212">
        <x:f t="shared" ref="F33:Q33" si="11">+IFERROR(F32/F5,)</x:f>
        <x:v>0.23317503088640457</x:v>
      </x:c>
      <x:c r="G33" s="212">
        <x:f t="shared" si="11"/>
        <x:v>0.23388727141550789</x:v>
      </x:c>
      <x:c r="H33" s="212">
        <x:f t="shared" si="11"/>
        <x:v>0.23435018791363496</x:v>
      </x:c>
      <x:c r="I33" s="212">
        <x:f t="shared" si="11"/>
        <x:v>0.23524476302309397</x:v>
      </x:c>
      <x:c r="J33" s="212">
        <x:f t="shared" si="11"/>
        <x:v>0.23796854833942083</x:v>
      </x:c>
      <x:c r="K33" s="212">
        <x:f t="shared" si="11"/>
        <x:v>0.23442263463312688</x:v>
      </x:c>
      <x:c r="L33" s="212">
        <x:f t="shared" si="11"/>
        <x:v>0.23551719808319244</x:v>
      </x:c>
      <x:c r="M33" s="212">
        <x:f t="shared" si="11"/>
        <x:v>0.23426339151229869</x:v>
      </x:c>
      <x:c r="N33" s="212">
        <x:f t="shared" si="11"/>
        <x:v>0.23432410808439996</x:v>
      </x:c>
      <x:c r="O33" s="212">
        <x:f t="shared" si="11"/>
        <x:v>0.16748644638768445</x:v>
      </x:c>
      <x:c r="P33" s="212">
        <x:f t="shared" si="11"/>
        <x:v>0.14051224011922467</x:v>
      </x:c>
      <x:c r="Q33" s="212">
        <x:f t="shared" si="11"/>
        <x:v>0.14866725942564907</x:v>
      </x:c>
    </x:row>
    <x:row r="34" spans="2:17" s="200" customFormat="1" ht="18.600000000000001" customHeight="1">
      <x:c r="B34" s="201" t="s">
        <x:v>939</x:v>
      </x:c>
      <x:c r="C34" s="197" t="s">
        <x:v>940</x:v>
      </x:c>
      <x:c r="D34" s="202">
        <x:f>SUM(F34:Q34)</x:f>
        <x:v>32457954.376426008</x:v>
      </x:c>
      <x:c r="E34" s="202">
        <x:f>E35+E36+E37+E38+E39+E40+E41</x:f>
        <x:v>0</x:v>
      </x:c>
      <x:c r="F34" s="202">
        <x:f>SUM(F35:F42)</x:f>
        <x:v>1864869.9249325779</x:v>
      </x:c>
      <x:c r="G34" s="202">
        <x:f t="shared" ref="G34:K34" si="12">SUM(G35:G42)</x:f>
        <x:v>2111319.2385570263</x:v>
      </x:c>
      <x:c r="H34" s="202">
        <x:f t="shared" si="12"/>
        <x:v>2624130.174927122</x:v>
      </x:c>
      <x:c r="I34" s="202">
        <x:f t="shared" si="12"/>
        <x:v>2295347.4874324799</x:v>
      </x:c>
      <x:c r="J34" s="202">
        <x:f t="shared" si="12"/>
        <x:v>4211534.8635943895</x:v>
      </x:c>
      <x:c r="K34" s="202">
        <x:f t="shared" si="12"/>
        <x:v>2905578.6054230775</x:v>
      </x:c>
      <x:c r="L34" s="202">
        <x:f>SUM(L35:L42)</x:f>
        <x:v>2097975.2380661797</x:v>
      </x:c>
      <x:c r="M34" s="202">
        <x:f t="shared" ref="M34:Q34" si="13">SUM(M35:M42)</x:f>
        <x:v>2807689.8118931637</x:v>
      </x:c>
      <x:c r="N34" s="202">
        <x:f t="shared" si="13"/>
        <x:v>2665818.2029872201</x:v>
      </x:c>
      <x:c r="O34" s="202">
        <x:f t="shared" si="13"/>
        <x:v>3411946.8558303453</x:v>
      </x:c>
      <x:c r="P34" s="202">
        <x:f t="shared" si="13"/>
        <x:v>2716652.740590082</x:v>
      </x:c>
      <x:c r="Q34" s="202">
        <x:f t="shared" si="13"/>
        <x:v>2745091.2321923403</x:v>
      </x:c>
    </x:row>
    <x:row r="35" spans="2:17" ht="16.5">
      <x:c r="C35" s="213" t="s">
        <x:v>28</x:v>
      </x:c>
      <x:c r="D35" s="191">
        <x:f>SUM(F35:Q35)</x:f>
        <x:v>1628307.2363416667</x:v>
      </x:c>
      <x:c r="E35" s="210"/>
      <x:c r="F35" s="210">
        <x:f>+'26 Detail'!B3</x:f>
        <x:v>95782.778608333349</x:v>
      </x:c>
      <x:c r="G35" s="210">
        <x:f>+'26 Detail'!C3</x:f>
        <x:v>95782.778608333349</x:v>
      </x:c>
      <x:c r="H35" s="210">
        <x:f>+'26 Detail'!D3</x:f>
        <x:v>95782.778608333349</x:v>
      </x:c>
      <x:c r="I35" s="210">
        <x:f>+'26 Detail'!E3</x:f>
        <x:v>95782.778608333349</x:v>
      </x:c>
      <x:c r="J35" s="210">
        <x:f>+'26 Detail'!F3</x:f>
        <x:v>95782.778608333349</x:v>
      </x:c>
      <x:c r="K35" s="210">
        <x:f>+'26 Detail'!G3</x:f>
        <x:v>95782.778608333349</x:v>
      </x:c>
      <x:c r="L35" s="210">
        <x:f>+'26 Detail'!H3</x:f>
        <x:v>95782.778608333349</x:v>
      </x:c>
      <x:c r="M35" s="210">
        <x:f>+'26 Detail'!I3</x:f>
        <x:v>191565.5572166667</x:v>
      </x:c>
      <x:c r="N35" s="210">
        <x:f>+'26 Detail'!J3</x:f>
        <x:v>191565.5572166667</x:v>
      </x:c>
      <x:c r="O35" s="210">
        <x:f>+'26 Detail'!K3</x:f>
        <x:v>191565.5572166667</x:v>
      </x:c>
      <x:c r="P35" s="210">
        <x:f>+'26 Detail'!L3</x:f>
        <x:v>191565.5572166667</x:v>
      </x:c>
      <x:c r="Q35" s="210">
        <x:f>+'26 Detail'!M3</x:f>
        <x:v>191565.5572166667</x:v>
      </x:c>
    </x:row>
    <x:row r="36" spans="2:17" ht="16.5">
      <x:c r="C36" s="213" t="s">
        <x:v>35</x:v>
      </x:c>
      <x:c r="D36" s="191">
        <x:f t="shared" ref="D36:D42" si="14">SUM(F36:Q36)</x:f>
        <x:v>334367.46026666666</x:v>
      </x:c>
      <x:c r="E36" s="210"/>
      <x:c r="F36" s="210">
        <x:f>+'26 Detail'!B11</x:f>
        <x:v>20897.966266666666</x:v>
      </x:c>
      <x:c r="G36" s="210">
        <x:f>+'26 Detail'!C11</x:f>
        <x:v>20897.966266666666</x:v>
      </x:c>
      <x:c r="H36" s="210">
        <x:f>+'26 Detail'!D11</x:f>
        <x:v>20897.966266666666</x:v>
      </x:c>
      <x:c r="I36" s="210">
        <x:f>+'26 Detail'!E11</x:f>
        <x:v>20897.966266666666</x:v>
      </x:c>
      <x:c r="J36" s="210">
        <x:f>+'26 Detail'!F11</x:f>
        <x:v>20897.966266666666</x:v>
      </x:c>
      <x:c r="K36" s="210">
        <x:f>+'26 Detail'!G11</x:f>
        <x:v>20897.966266666666</x:v>
      </x:c>
      <x:c r="L36" s="210">
        <x:f>+'26 Detail'!H11</x:f>
        <x:v>20897.966266666666</x:v>
      </x:c>
      <x:c r="M36" s="210">
        <x:f>+'26 Detail'!I11</x:f>
        <x:v>20897.966266666666</x:v>
      </x:c>
      <x:c r="N36" s="210">
        <x:f>+'26 Detail'!J11</x:f>
        <x:v>41795.932533333333</x:v>
      </x:c>
      <x:c r="O36" s="210">
        <x:f>+'26 Detail'!K11</x:f>
        <x:v>41795.932533333333</x:v>
      </x:c>
      <x:c r="P36" s="210">
        <x:f>+'26 Detail'!L11</x:f>
        <x:v>41795.932533333333</x:v>
      </x:c>
      <x:c r="Q36" s="210">
        <x:f>+'26 Detail'!M11</x:f>
        <x:v>41795.932533333333</x:v>
      </x:c>
    </x:row>
    <x:row r="37" spans="2:17" ht="16.5">
      <x:c r="C37" s="213" t="s">
        <x:v>37</x:v>
      </x:c>
      <x:c r="D37" s="191">
        <x:f t="shared" si="14"/>
        <x:v>6658033.8000000017</x:v>
      </x:c>
      <x:c r="E37" s="210"/>
      <x:c r="F37" s="210">
        <x:f>+'26 Detail'!B20</x:f>
        <x:v>554836.15</x:v>
      </x:c>
      <x:c r="G37" s="210">
        <x:f>+'26 Detail'!C20</x:f>
        <x:v>554836.15</x:v>
      </x:c>
      <x:c r="H37" s="210">
        <x:f>+'26 Detail'!D20</x:f>
        <x:v>554836.15</x:v>
      </x:c>
      <x:c r="I37" s="210">
        <x:f>+'26 Detail'!E20</x:f>
        <x:v>554836.15</x:v>
      </x:c>
      <x:c r="J37" s="210">
        <x:f>+'26 Detail'!F20</x:f>
        <x:v>554836.15</x:v>
      </x:c>
      <x:c r="K37" s="210">
        <x:f>+'26 Detail'!G20</x:f>
        <x:v>554836.15</x:v>
      </x:c>
      <x:c r="L37" s="210">
        <x:f>+'26 Detail'!H20</x:f>
        <x:v>554836.15</x:v>
      </x:c>
      <x:c r="M37" s="210">
        <x:f>+'26 Detail'!I20</x:f>
        <x:v>554836.15</x:v>
      </x:c>
      <x:c r="N37" s="210">
        <x:f>+'26 Detail'!J20</x:f>
        <x:v>554836.15</x:v>
      </x:c>
      <x:c r="O37" s="210">
        <x:f>+'26 Detail'!K20</x:f>
        <x:v>554836.15</x:v>
      </x:c>
      <x:c r="P37" s="210">
        <x:f>+'26 Detail'!L20</x:f>
        <x:v>554836.15</x:v>
      </x:c>
      <x:c r="Q37" s="210">
        <x:f>+'26 Detail'!M20</x:f>
        <x:v>554836.15</x:v>
      </x:c>
    </x:row>
    <x:row r="38" spans="2:17" ht="16.5">
      <x:c r="C38" s="213" t="s">
        <x:v>39</x:v>
      </x:c>
      <x:c r="D38" s="191">
        <x:f t="shared" si="14"/>
        <x:v>0</x:v>
      </x:c>
      <x:c r="E38" s="210"/>
      <x:c r="F38" s="210"/>
      <x:c r="G38" s="210"/>
      <x:c r="H38" s="210"/>
      <x:c r="I38" s="210"/>
      <x:c r="J38" s="210"/>
      <x:c r="K38" s="210"/>
      <x:c r="L38" s="210"/>
      <x:c r="M38" s="210"/>
      <x:c r="N38" s="210"/>
      <x:c r="O38" s="206"/>
      <x:c r="P38" s="210"/>
      <x:c r="Q38" s="210"/>
    </x:row>
    <x:row r="39" spans="2:17" ht="16.5">
      <x:c r="C39" s="213" t="s">
        <x:v>42</x:v>
      </x:c>
      <x:c r="D39" s="191">
        <x:f t="shared" si="14"/>
        <x:v>496289.82150000008</x:v>
      </x:c>
      <x:c r="E39" s="210"/>
      <x:c r="F39" s="210">
        <x:f>+'26 Detail'!B27</x:f>
        <x:v>41357.485125000007</x:v>
      </x:c>
      <x:c r="G39" s="210">
        <x:f>+'26 Detail'!C27</x:f>
        <x:v>41357.485125000007</x:v>
      </x:c>
      <x:c r="H39" s="210">
        <x:f>+'26 Detail'!D27</x:f>
        <x:v>41357.485125000007</x:v>
      </x:c>
      <x:c r="I39" s="210">
        <x:f>+'26 Detail'!E27</x:f>
        <x:v>41357.485125000007</x:v>
      </x:c>
      <x:c r="J39" s="210">
        <x:f>+'26 Detail'!F27</x:f>
        <x:v>41357.485125000007</x:v>
      </x:c>
      <x:c r="K39" s="210">
        <x:f>+'26 Detail'!G27</x:f>
        <x:v>41357.485125000007</x:v>
      </x:c>
      <x:c r="L39" s="210">
        <x:f>+'26 Detail'!H27</x:f>
        <x:v>41357.485125000007</x:v>
      </x:c>
      <x:c r="M39" s="210">
        <x:f>+'26 Detail'!I27</x:f>
        <x:v>41357.485125000007</x:v>
      </x:c>
      <x:c r="N39" s="210">
        <x:f>+'26 Detail'!J27</x:f>
        <x:v>41357.485125000007</x:v>
      </x:c>
      <x:c r="O39" s="210">
        <x:f>+'26 Detail'!K27</x:f>
        <x:v>41357.485125000007</x:v>
      </x:c>
      <x:c r="P39" s="210">
        <x:f>+'26 Detail'!L27</x:f>
        <x:v>41357.485125000007</x:v>
      </x:c>
      <x:c r="Q39" s="210">
        <x:f>+'26 Detail'!M27</x:f>
        <x:v>41357.485125000007</x:v>
      </x:c>
    </x:row>
    <x:row r="40" spans="2:17" ht="16.5">
      <x:c r="C40" s="159" t="s">
        <x:v>941</x:v>
      </x:c>
      <x:c r="D40" s="191">
        <x:f t="shared" si="14"/>
        <x:v>1457627.5911600003</x:v>
      </x:c>
      <x:c r="E40" s="210"/>
      <x:c r="F40" s="210">
        <x:f>+'26 Detail'!B32</x:f>
        <x:v>106596.588384</x:v>
      </x:c>
      <x:c r="G40" s="210">
        <x:f>+'26 Detail'!C32</x:f>
        <x:v>121132.48680000001</x:v>
      </x:c>
      <x:c r="H40" s="210">
        <x:f>+'26 Detail'!D32</x:f>
        <x:v>139706.13477600002</x:v>
      </x:c>
      <x:c r="I40" s="210">
        <x:f>+'26 Detail'!E32</x:f>
        <x:v>86407.840584000005</x:v>
      </x:c>
      <x:c r="J40" s="210">
        <x:f>+'26 Detail'!F32</x:f>
        <x:v>120324.93688800001</x:v>
      </x:c>
      <x:c r="K40" s="210">
        <x:f>+'26 Detail'!G32</x:f>
        <x:v>150204.28363200004</x:v>
      </x:c>
      <x:c r="L40" s="210">
        <x:f>+'26 Detail'!H32</x:f>
        <x:v>92060.689968000021</x:v>
      </x:c>
      <x:c r="M40" s="210">
        <x:f>+'26 Detail'!I32</x:f>
        <x:v>127592.886096</x:v>
      </x:c>
      <x:c r="N40" s="210">
        <x:f>+'26 Detail'!J32</x:f>
        <x:v>135668.38521600002</x:v>
      </x:c>
      <x:c r="O40" s="210">
        <x:f>+'26 Detail'!K32</x:f>
        <x:v>135668.38521600002</x:v>
      </x:c>
      <x:c r="P40" s="210">
        <x:f>+'26 Detail'!L32</x:f>
        <x:v>121132.48680000001</x:v>
      </x:c>
      <x:c r="Q40" s="210">
        <x:f>+'26 Detail'!M32</x:f>
        <x:v>121132.48680000001</x:v>
      </x:c>
    </x:row>
    <x:row r="41" spans="2:17" ht="16.5">
      <x:c r="C41" s="159" t="s">
        <x:v>41</x:v>
      </x:c>
      <x:c r="D41" s="191">
        <x:f t="shared" si="14"/>
        <x:v>3321059.350000001</x:v>
      </x:c>
      <x:c r="E41" s="210"/>
      <x:c r="F41" s="210">
        <x:f>+'26 Detail'!B35</x:f>
        <x:v>110088.27916666667</x:v>
      </x:c>
      <x:c r="G41" s="210">
        <x:f>+'26 Detail'!C35</x:f>
        <x:v>110088.27916666667</x:v>
      </x:c>
      <x:c r="H41" s="210">
        <x:f>+'26 Detail'!D35</x:f>
        <x:v>110088.27916666667</x:v>
      </x:c>
      <x:c r="I41" s="210">
        <x:f>+'26 Detail'!E35</x:f>
        <x:v>110088.27916666667</x:v>
      </x:c>
      <x:c r="J41" s="210">
        <x:f>+'26 Detail'!F35</x:f>
        <x:v>2110088.2791666668</x:v>
      </x:c>
      <x:c r="K41" s="210">
        <x:f>+'26 Detail'!G35</x:f>
        <x:v>110088.27916666667</x:v>
      </x:c>
      <x:c r="L41" s="210">
        <x:f>+'26 Detail'!H35</x:f>
        <x:v>110088.27916666667</x:v>
      </x:c>
      <x:c r="M41" s="210">
        <x:f>+'26 Detail'!I35</x:f>
        <x:v>110088.27916666667</x:v>
      </x:c>
      <x:c r="N41" s="210">
        <x:f>+'26 Detail'!J35</x:f>
        <x:v>110088.27916666667</x:v>
      </x:c>
      <x:c r="O41" s="210">
        <x:f>+'26 Detail'!K35</x:f>
        <x:v>110088.27916666667</x:v>
      </x:c>
      <x:c r="P41" s="210">
        <x:f>+'26 Detail'!L35</x:f>
        <x:v>110088.27916666667</x:v>
      </x:c>
      <x:c r="Q41" s="210">
        <x:f>+'26 Detail'!M35</x:f>
        <x:v>110088.27916666667</x:v>
      </x:c>
    </x:row>
    <x:row r="42" spans="2:17" ht="16.5">
      <x:c r="C42" s="159" t="s">
        <x:v>942</x:v>
      </x:c>
      <x:c r="D42" s="191">
        <x:f t="shared" si="14"/>
        <x:v>18562269.117157672</x:v>
      </x:c>
      <x:c r="E42" s="210"/>
      <x:c r="F42" s="210">
        <x:f>'26 Detail'!B41</x:f>
        <x:v>935310.6773819112</x:v>
      </x:c>
      <x:c r="G42" s="210">
        <x:f>'26 Detail'!C41</x:f>
        <x:v>1167224.0925903597</x:v>
      </x:c>
      <x:c r="H42" s="210">
        <x:f>'26 Detail'!D41</x:f>
        <x:v>1661461.3809844551</x:v>
      </x:c>
      <x:c r="I42" s="210">
        <x:f>'26 Detail'!E41</x:f>
        <x:v>1385976.9876818131</x:v>
      </x:c>
      <x:c r="J42" s="210">
        <x:f>'26 Detail'!F41</x:f>
        <x:v>1268247.2675397228</x:v>
      </x:c>
      <x:c r="K42" s="210">
        <x:f>'26 Detail'!G41</x:f>
        <x:v>1932411.6626244108</x:v>
      </x:c>
      <x:c r="L42" s="210">
        <x:f>'26 Detail'!H41</x:f>
        <x:v>1182951.8889315131</x:v>
      </x:c>
      <x:c r="M42" s="210">
        <x:f>'26 Detail'!I41</x:f>
        <x:v>1761351.4880221637</x:v>
      </x:c>
      <x:c r="N42" s="210">
        <x:f>'26 Detail'!J41</x:f>
        <x:v>1590506.4137295533</x:v>
      </x:c>
      <x:c r="O42" s="210">
        <x:f>'26 Detail'!K41</x:f>
        <x:v>2336635.0665726783</x:v>
      </x:c>
      <x:c r="P42" s="210">
        <x:f>'26 Detail'!L41</x:f>
        <x:v>1655876.8497484154</x:v>
      </x:c>
      <x:c r="Q42" s="210">
        <x:f>'26 Detail'!M41</x:f>
        <x:v>1684315.3413506737</x:v>
      </x:c>
    </x:row>
    <x:row r="43" spans="2:17" s="200" customFormat="1" ht="18.600000000000001" customHeight="1">
      <x:c r="B43" s="201" t="s">
        <x:v>939</x:v>
      </x:c>
      <x:c r="C43" s="197" t="s">
        <x:v>943</x:v>
      </x:c>
      <x:c r="D43" s="202">
        <x:f>SUM(F43:Q43)</x:f>
        <x:v>157497538.84652546</x:v>
      </x:c>
      <x:c r="E43" s="202">
        <x:f>E44+E45+E46+E47+E48+E49+E50</x:f>
        <x:v>0</x:v>
      </x:c>
      <x:c r="F43" s="202">
        <x:f>SUM(F44:F68)</x:f>
        <x:v>9082306.6366756093</x:v>
      </x:c>
      <x:c r="G43" s="202">
        <x:f t="shared" ref="G43:Q43" si="15">SUM(G44:G68)</x:f>
        <x:v>10967150.244269826</x:v>
      </x:c>
      <x:c r="H43" s="202">
        <x:f t="shared" si="15"/>
        <x:v>12578190.534265911</x:v>
      </x:c>
      <x:c r="I43" s="202">
        <x:f t="shared" si="15"/>
        <x:v>13145494.437390212</x:v>
      </x:c>
      <x:c r="J43" s="202">
        <x:f t="shared" si="15"/>
        <x:v>11083465.824814746</x:v>
      </x:c>
      <x:c r="K43" s="202">
        <x:f t="shared" si="15"/>
        <x:v>16371539.174907733</x:v>
      </x:c>
      <x:c r="L43" s="202">
        <x:f t="shared" si="15"/>
        <x:v>11408051.47430864</x:v>
      </x:c>
      <x:c r="M43" s="202">
        <x:f t="shared" si="15"/>
        <x:v>13913302.762935299</x:v>
      </x:c>
      <x:c r="N43" s="202">
        <x:f t="shared" si="15"/>
        <x:v>13246185.058050226</x:v>
      </x:c>
      <x:c r="O43" s="202">
        <x:f t="shared" si="15"/>
        <x:v>15992575.194064882</x:v>
      </x:c>
      <x:c r="P43" s="202">
        <x:f t="shared" si="15"/>
        <x:v>13125020.611926617</x:v>
      </x:c>
      <x:c r="Q43" s="202">
        <x:f t="shared" si="15"/>
        <x:v>16584256.892915763</x:v>
      </x:c>
    </x:row>
    <x:row r="44" spans="2:17" ht="16.5">
      <x:c r="C44" s="214" t="s">
        <x:v>1210</x:v>
      </x:c>
      <x:c r="D44" s="191">
        <x:f>SUM(F44:Q44)</x:f>
        <x:v>23327078.490000002</x:v>
      </x:c>
      <x:c r="F44" s="191">
        <x:f>+'26 Detail'!B45</x:f>
        <x:v>1197719.49</x:v>
      </x:c>
      <x:c r="G44" s="191">
        <x:f>+'26 Detail'!C45</x:f>
        <x:v>1770719.49</x:v>
      </x:c>
      <x:c r="H44" s="191">
        <x:f>+'26 Detail'!D45</x:f>
        <x:v>1197719.49</x:v>
      </x:c>
      <x:c r="I44" s="191">
        <x:f>+'26 Detail'!E45</x:f>
        <x:v>2997719.4899999998</x:v>
      </x:c>
      <x:c r="J44" s="191">
        <x:f>+'26 Detail'!F45</x:f>
        <x:v>1197719.49</x:v>
      </x:c>
      <x:c r="K44" s="191">
        <x:f>+'26 Detail'!G45</x:f>
        <x:v>4077719.4899999998</x:v>
      </x:c>
      <x:c r="L44" s="191">
        <x:f>+'26 Detail'!H45</x:f>
        <x:v>1865901.23</x:v>
      </x:c>
      <x:c r="M44" s="191">
        <x:f>+'26 Detail'!I45</x:f>
        <x:v>1994901.23</x:v>
      </x:c>
      <x:c r="N44" s="191">
        <x:f>+'26 Detail'!J45</x:f>
        <x:v>2028055.4</x:v>
      </x:c>
      <x:c r="O44" s="191">
        <x:f>+'26 Detail'!K45</x:f>
        <x:v>1665901.23</x:v>
      </x:c>
      <x:c r="P44" s="191">
        <x:f>+'26 Detail'!L45</x:f>
        <x:v>1665901.23</x:v>
      </x:c>
      <x:c r="Q44" s="191">
        <x:f>+'26 Detail'!M45</x:f>
        <x:v>1667101.23</x:v>
      </x:c>
    </x:row>
    <x:row r="45" spans="2:17" ht="16.5">
      <x:c r="C45" s="159" t="s">
        <x:v>944</x:v>
      </x:c>
      <x:c r="D45" s="191">
        <x:f t="shared" ref="D45:D65" si="16">SUM(F45:Q45)</x:f>
        <x:v>16492194.090285717</x:v>
      </x:c>
      <x:c r="E45" s="210"/>
      <x:c r="F45" s="191">
        <x:f>+'26 Detail'!B53</x:f>
        <x:v>1051454.6468571429</x:v>
      </x:c>
      <x:c r="G45" s="191">
        <x:f>+'26 Detail'!C53</x:f>
        <x:v>1382690.3728571427</x:v>
      </x:c>
      <x:c r="H45" s="191">
        <x:f>+'26 Detail'!D53</x:f>
        <x:v>1492505.2428571428</x:v>
      </x:c>
      <x:c r="I45" s="191">
        <x:f>+'26 Detail'!E53</x:f>
        <x:v>1414130.3388571427</x:v>
      </x:c>
      <x:c r="J45" s="191">
        <x:f>+'26 Detail'!F53</x:f>
        <x:v>1405056.4068571429</x:v>
      </x:c>
      <x:c r="K45" s="191">
        <x:f>+'26 Detail'!G53</x:f>
        <x:v>1374505.2428571428</x:v>
      </x:c>
      <x:c r="L45" s="191">
        <x:f>+'26 Detail'!H53</x:f>
        <x:v>1382095.2428571428</x:v>
      </x:c>
      <x:c r="M45" s="191">
        <x:f>+'26 Detail'!I53</x:f>
        <x:v>1402636.1268571429</x:v>
      </x:c>
      <x:c r="N45" s="191">
        <x:f>+'26 Detail'!J53</x:f>
        <x:v>1382095.2428571428</x:v>
      </x:c>
      <x:c r="O45" s="191">
        <x:f>+'26 Detail'!K53</x:f>
        <x:v>1412539.7408571427</x:v>
      </x:c>
      <x:c r="P45" s="191">
        <x:f>+'26 Detail'!L53</x:f>
        <x:v>1382095.2428571428</x:v>
      </x:c>
      <x:c r="Q45" s="191">
        <x:f>+'26 Detail'!M53</x:f>
        <x:v>1410390.2428571428</x:v>
      </x:c>
    </x:row>
    <x:row r="46" spans="2:17" ht="16.5">
      <x:c r="C46" s="159" t="s">
        <x:v>61</x:v>
      </x:c>
      <x:c r="D46" s="191">
        <x:f t="shared" si="16"/>
        <x:v>17485494.636857141</x:v>
      </x:c>
      <x:c r="E46" s="210"/>
      <x:c r="F46" s="191">
        <x:f>+'26 Detail'!B62</x:f>
        <x:v>1119618.598</x:v>
      </x:c>
      <x:c r="G46" s="191">
        <x:f>+'26 Detail'!C62</x:f>
        <x:v>1351355.548</x:v>
      </x:c>
      <x:c r="H46" s="191">
        <x:f>+'26 Detail'!D62</x:f>
        <x:v>1403919.95</x:v>
      </x:c>
      <x:c r="I46" s="191">
        <x:f>+'26 Detail'!E62</x:f>
        <x:v>1367310.55</x:v>
      </x:c>
      <x:c r="J46" s="191">
        <x:f>+'26 Detail'!F62</x:f>
        <x:v>1385161.236</x:v>
      </x:c>
      <x:c r="K46" s="191">
        <x:f>+'26 Detail'!G62</x:f>
        <x:v>1331919.95</x:v>
      </x:c>
      <x:c r="L46" s="191">
        <x:f>+'26 Detail'!H62</x:f>
        <x:v>1595132.5928571427</x:v>
      </x:c>
      <x:c r="M46" s="191">
        <x:f>+'26 Detail'!I62</x:f>
        <x:v>1588779.9899999998</x:v>
      </x:c>
      <x:c r="N46" s="191">
        <x:f>+'26 Detail'!J62</x:f>
        <x:v>1542014.9499999997</x:v>
      </x:c>
      <x:c r="O46" s="191">
        <x:f>+'26 Detail'!K62</x:f>
        <x:v>1663250.3139999998</x:v>
      </x:c>
      <x:c r="P46" s="191">
        <x:f>+'26 Detail'!L62</x:f>
        <x:v>1589211.0079999997</x:v>
      </x:c>
      <x:c r="Q46" s="191">
        <x:f>+'26 Detail'!M62</x:f>
        <x:v>1547819.9499999997</x:v>
      </x:c>
    </x:row>
    <x:row r="47" spans="2:17" ht="16.5">
      <x:c r="C47" s="159" t="s">
        <x:v>1489</x:v>
      </x:c>
      <x:c r="D47" s="191">
        <x:f t="shared" si="16"/>
        <x:v>1129000</x:v>
      </x:c>
      <x:c r="E47" s="210"/>
      <x:c r="F47" s="191">
        <x:f>+'26 Detail'!B72</x:f>
        <x:v>76750</x:v>
      </x:c>
      <x:c r="G47" s="191">
        <x:f>+'26 Detail'!C72</x:f>
        <x:v>76750</x:v>
      </x:c>
      <x:c r="H47" s="191">
        <x:f>+'26 Detail'!D72</x:f>
        <x:v>76750</x:v>
      </x:c>
      <x:c r="I47" s="191">
        <x:f>+'26 Detail'!E72</x:f>
        <x:v>76750</x:v>
      </x:c>
      <x:c r="J47" s="191">
        <x:f>+'26 Detail'!F72</x:f>
        <x:v>102750</x:v>
      </x:c>
      <x:c r="K47" s="191">
        <x:f>+'26 Detail'!G72</x:f>
        <x:v>102750</x:v>
      </x:c>
      <x:c r="L47" s="191">
        <x:f>+'26 Detail'!H72</x:f>
        <x:v>102750</x:v>
      </x:c>
      <x:c r="M47" s="191">
        <x:f>+'26 Detail'!I72</x:f>
        <x:v>102750</x:v>
      </x:c>
      <x:c r="N47" s="191">
        <x:f>+'26 Detail'!J72</x:f>
        <x:v>102750</x:v>
      </x:c>
      <x:c r="O47" s="191">
        <x:f>+'26 Detail'!K72</x:f>
        <x:v>102750</x:v>
      </x:c>
      <x:c r="P47" s="191">
        <x:f>+'26 Detail'!L72</x:f>
        <x:v>102750</x:v>
      </x:c>
      <x:c r="Q47" s="191">
        <x:f>+'26 Detail'!M72</x:f>
        <x:v>102750</x:v>
      </x:c>
    </x:row>
    <x:row r="48" spans="2:17" ht="16.5">
      <x:c r="C48" s="159" t="s">
        <x:v>1079</x:v>
      </x:c>
      <x:c r="D48" s="191">
        <x:f t="shared" si="16"/>
        <x:v>0</x:v>
      </x:c>
      <x:c r="E48" s="210"/>
      <x:c r="F48" s="191">
        <x:f>+'26 Detail'!B77</x:f>
        <x:v>0</x:v>
      </x:c>
      <x:c r="G48" s="191">
        <x:f>+'26 Detail'!C77</x:f>
        <x:v>0</x:v>
      </x:c>
      <x:c r="H48" s="191">
        <x:f>+'26 Detail'!D77</x:f>
        <x:v>0</x:v>
      </x:c>
      <x:c r="I48" s="191">
        <x:f>+'26 Detail'!E77</x:f>
        <x:v>0</x:v>
      </x:c>
      <x:c r="J48" s="191">
        <x:f>+'26 Detail'!F77</x:f>
        <x:v>0</x:v>
      </x:c>
      <x:c r="K48" s="191">
        <x:f>+'26 Detail'!G77</x:f>
        <x:v>0</x:v>
      </x:c>
      <x:c r="L48" s="191">
        <x:f>+'26 Detail'!H77</x:f>
        <x:v>0</x:v>
      </x:c>
      <x:c r="M48" s="191">
        <x:f>+'26 Detail'!I77</x:f>
        <x:v>0</x:v>
      </x:c>
      <x:c r="N48" s="191">
        <x:f>+'26 Detail'!J77</x:f>
        <x:v>0</x:v>
      </x:c>
      <x:c r="O48" s="191">
        <x:f>+'26 Detail'!K77</x:f>
        <x:v>0</x:v>
      </x:c>
      <x:c r="P48" s="191">
        <x:f>+'26 Detail'!L77</x:f>
        <x:v>0</x:v>
      </x:c>
      <x:c r="Q48" s="191">
        <x:f>+'26 Detail'!M77</x:f>
        <x:v>0</x:v>
      </x:c>
    </x:row>
    <x:row r="49" spans="3:17" ht="16.5">
      <x:c r="C49" s="159" t="s">
        <x:v>67</x:v>
      </x:c>
      <x:c r="D49" s="191">
        <x:f t="shared" si="16"/>
        <x:v>360000</x:v>
      </x:c>
      <x:c r="E49" s="210"/>
      <x:c r="F49" s="191">
        <x:f>+'26 Detail'!B82</x:f>
        <x:v>30000</x:v>
      </x:c>
      <x:c r="G49" s="191">
        <x:f>+'26 Detail'!C82</x:f>
        <x:v>30000</x:v>
      </x:c>
      <x:c r="H49" s="191">
        <x:f>+'26 Detail'!D82</x:f>
        <x:v>30000</x:v>
      </x:c>
      <x:c r="I49" s="191">
        <x:f>+'26 Detail'!E82</x:f>
        <x:v>30000</x:v>
      </x:c>
      <x:c r="J49" s="191">
        <x:f>+'26 Detail'!F82</x:f>
        <x:v>30000</x:v>
      </x:c>
      <x:c r="K49" s="191">
        <x:f>+'26 Detail'!G82</x:f>
        <x:v>30000</x:v>
      </x:c>
      <x:c r="L49" s="191">
        <x:f>+'26 Detail'!H82</x:f>
        <x:v>30000</x:v>
      </x:c>
      <x:c r="M49" s="191">
        <x:f>+'26 Detail'!I82</x:f>
        <x:v>30000</x:v>
      </x:c>
      <x:c r="N49" s="191">
        <x:f>+'26 Detail'!J82</x:f>
        <x:v>30000</x:v>
      </x:c>
      <x:c r="O49" s="191">
        <x:f>+'26 Detail'!K82</x:f>
        <x:v>30000</x:v>
      </x:c>
      <x:c r="P49" s="191">
        <x:f>+'26 Detail'!L82</x:f>
        <x:v>30000</x:v>
      </x:c>
      <x:c r="Q49" s="191">
        <x:f>+'26 Detail'!M82</x:f>
        <x:v>30000</x:v>
      </x:c>
    </x:row>
    <x:row r="50" spans="3:17" ht="16.5">
      <x:c r="C50" s="214" t="s">
        <x:v>65</x:v>
      </x:c>
      <x:c r="D50" s="191">
        <x:f t="shared" si="16"/>
        <x:v>6258000</x:v>
      </x:c>
      <x:c r="F50" s="191">
        <x:f>+'26 Detail'!B87</x:f>
        <x:v>521500</x:v>
      </x:c>
      <x:c r="G50" s="191">
        <x:f>+'26 Detail'!C87</x:f>
        <x:v>521500</x:v>
      </x:c>
      <x:c r="H50" s="191">
        <x:f>+'26 Detail'!D87</x:f>
        <x:v>521500</x:v>
      </x:c>
      <x:c r="I50" s="191">
        <x:f>+'26 Detail'!E87</x:f>
        <x:v>521500</x:v>
      </x:c>
      <x:c r="J50" s="191">
        <x:f>+'26 Detail'!F87</x:f>
        <x:v>521500</x:v>
      </x:c>
      <x:c r="K50" s="191">
        <x:f>+'26 Detail'!G87</x:f>
        <x:v>521500</x:v>
      </x:c>
      <x:c r="L50" s="191">
        <x:f>+'26 Detail'!H87</x:f>
        <x:v>521500</x:v>
      </x:c>
      <x:c r="M50" s="191">
        <x:f>+'26 Detail'!I87</x:f>
        <x:v>521500</x:v>
      </x:c>
      <x:c r="N50" s="191">
        <x:f>+'26 Detail'!J87</x:f>
        <x:v>521500</x:v>
      </x:c>
      <x:c r="O50" s="191">
        <x:f>+'26 Detail'!K87</x:f>
        <x:v>521500</x:v>
      </x:c>
      <x:c r="P50" s="191">
        <x:f>+'26 Detail'!L87</x:f>
        <x:v>521500</x:v>
      </x:c>
      <x:c r="Q50" s="191">
        <x:f>+'26 Detail'!M87</x:f>
        <x:v>521500</x:v>
      </x:c>
    </x:row>
    <x:row r="51" spans="3:17" ht="16.5">
      <x:c r="C51" s="159" t="s">
        <x:v>73</x:v>
      </x:c>
      <x:c r="D51" s="191">
        <x:f t="shared" si="16"/>
        <x:v>7174380.0000000009</x:v>
      </x:c>
      <x:c r="E51" s="210"/>
      <x:c r="F51" s="191">
        <x:f>+'26 Detail'!B93</x:f>
        <x:v>362260.83333333337</x:v>
      </x:c>
      <x:c r="G51" s="191">
        <x:f>+'26 Detail'!C93</x:f>
        <x:v>362260.83333333337</x:v>
      </x:c>
      <x:c r="H51" s="191">
        <x:f>+'26 Detail'!D93</x:f>
        <x:v>362260.83333333337</x:v>
      </x:c>
      <x:c r="I51" s="191">
        <x:f>+'26 Detail'!E93</x:f>
        <x:v>362260.83333333337</x:v>
      </x:c>
      <x:c r="J51" s="191">
        <x:f>+'26 Detail'!F93</x:f>
        <x:v>362260.83333333337</x:v>
      </x:c>
      <x:c r="K51" s="191">
        <x:f>+'26 Detail'!G93</x:f>
        <x:v>362260.83333333337</x:v>
      </x:c>
      <x:c r="L51" s="191">
        <x:f>+'26 Detail'!H93</x:f>
        <x:v>362260.83333333337</x:v>
      </x:c>
      <x:c r="M51" s="191">
        <x:f>+'26 Detail'!I93</x:f>
        <x:v>362260.83333333337</x:v>
      </x:c>
      <x:c r="N51" s="191">
        <x:f>+'26 Detail'!J93</x:f>
        <x:v>362260.83333333337</x:v>
      </x:c>
      <x:c r="O51" s="191">
        <x:f>+'26 Detail'!K93</x:f>
        <x:v>362260.83333333337</x:v>
      </x:c>
      <x:c r="P51" s="191">
        <x:f>+'26 Detail'!L93</x:f>
        <x:v>362260.83333333337</x:v>
      </x:c>
      <x:c r="Q51" s="191">
        <x:f>+'26 Detail'!M93</x:f>
        <x:v>3189510.833333333</x:v>
      </x:c>
    </x:row>
    <x:row r="52" spans="3:17" ht="16.5">
      <x:c r="C52" s="159" t="s">
        <x:v>81</x:v>
      </x:c>
      <x:c r="D52" s="191">
        <x:f t="shared" si="16"/>
        <x:v>1260000</x:v>
      </x:c>
      <x:c r="E52" s="210"/>
      <x:c r="F52" s="191">
        <x:f>+'26 Detail'!B102</x:f>
        <x:v>105000</x:v>
      </x:c>
      <x:c r="G52" s="191">
        <x:f>+'26 Detail'!C102</x:f>
        <x:v>105000</x:v>
      </x:c>
      <x:c r="H52" s="191">
        <x:f>+'26 Detail'!D102</x:f>
        <x:v>105000</x:v>
      </x:c>
      <x:c r="I52" s="191">
        <x:f>+'26 Detail'!E102</x:f>
        <x:v>105000</x:v>
      </x:c>
      <x:c r="J52" s="191">
        <x:f>+'26 Detail'!F102</x:f>
        <x:v>105000</x:v>
      </x:c>
      <x:c r="K52" s="191">
        <x:f>+'26 Detail'!G102</x:f>
        <x:v>105000</x:v>
      </x:c>
      <x:c r="L52" s="191">
        <x:f>+'26 Detail'!H102</x:f>
        <x:v>105000</x:v>
      </x:c>
      <x:c r="M52" s="191">
        <x:f>+'26 Detail'!I102</x:f>
        <x:v>105000</x:v>
      </x:c>
      <x:c r="N52" s="191">
        <x:f>+'26 Detail'!J102</x:f>
        <x:v>105000</x:v>
      </x:c>
      <x:c r="O52" s="191">
        <x:f>+'26 Detail'!K102</x:f>
        <x:v>105000</x:v>
      </x:c>
      <x:c r="P52" s="191">
        <x:f>+'26 Detail'!L102</x:f>
        <x:v>105000</x:v>
      </x:c>
      <x:c r="Q52" s="191">
        <x:f>+'26 Detail'!M102</x:f>
        <x:v>105000</x:v>
      </x:c>
    </x:row>
    <x:row r="53" spans="3:17" ht="16.5">
      <x:c r="C53" s="159" t="s">
        <x:v>84</x:v>
      </x:c>
      <x:c r="D53" s="191">
        <x:f t="shared" si="16"/>
        <x:v>0</x:v>
      </x:c>
      <x:c r="E53" s="210"/>
      <x:c r="F53" s="191">
        <x:f>+'26 Detail'!B106</x:f>
        <x:v>0</x:v>
      </x:c>
      <x:c r="G53" s="191">
        <x:f>+'26 Detail'!C106</x:f>
        <x:v>0</x:v>
      </x:c>
      <x:c r="H53" s="191">
        <x:f>+'26 Detail'!D106</x:f>
        <x:v>0</x:v>
      </x:c>
      <x:c r="I53" s="191">
        <x:f>+'26 Detail'!E106</x:f>
        <x:v>0</x:v>
      </x:c>
      <x:c r="J53" s="191">
        <x:f>+'26 Detail'!F106</x:f>
        <x:v>0</x:v>
      </x:c>
      <x:c r="K53" s="191">
        <x:f>+'26 Detail'!G106</x:f>
        <x:v>0</x:v>
      </x:c>
      <x:c r="L53" s="191">
        <x:f>+'26 Detail'!H106</x:f>
        <x:v>0</x:v>
      </x:c>
      <x:c r="M53" s="191">
        <x:f>+'26 Detail'!I106</x:f>
        <x:v>0</x:v>
      </x:c>
      <x:c r="N53" s="191">
        <x:f>+'26 Detail'!J106</x:f>
        <x:v>0</x:v>
      </x:c>
      <x:c r="O53" s="191">
        <x:f>+'26 Detail'!K106</x:f>
        <x:v>0</x:v>
      </x:c>
      <x:c r="P53" s="191">
        <x:f>+'26 Detail'!L106</x:f>
        <x:v>0</x:v>
      </x:c>
      <x:c r="Q53" s="191">
        <x:f>+'26 Detail'!M106</x:f>
        <x:v>0</x:v>
      </x:c>
    </x:row>
    <x:row r="54" spans="3:17" ht="16.5">
      <x:c r="C54" s="159" t="s">
        <x:v>88</x:v>
      </x:c>
      <x:c r="D54" s="191">
        <x:f t="shared" si="16"/>
        <x:v>275137.2</x:v>
      </x:c>
      <x:c r="E54" s="210"/>
      <x:c r="F54" s="191">
        <x:f>+'26 Detail'!B111</x:f>
        <x:v>22928.1</x:v>
      </x:c>
      <x:c r="G54" s="191">
        <x:f>+'26 Detail'!C111</x:f>
        <x:v>22928.1</x:v>
      </x:c>
      <x:c r="H54" s="191">
        <x:f>+'26 Detail'!D111</x:f>
        <x:v>22928.1</x:v>
      </x:c>
      <x:c r="I54" s="191">
        <x:f>+'26 Detail'!E111</x:f>
        <x:v>22928.1</x:v>
      </x:c>
      <x:c r="J54" s="191">
        <x:f>+'26 Detail'!F111</x:f>
        <x:v>22928.1</x:v>
      </x:c>
      <x:c r="K54" s="191">
        <x:f>+'26 Detail'!G111</x:f>
        <x:v>22928.1</x:v>
      </x:c>
      <x:c r="L54" s="191">
        <x:f>+'26 Detail'!H111</x:f>
        <x:v>22928.1</x:v>
      </x:c>
      <x:c r="M54" s="191">
        <x:f>+'26 Detail'!I111</x:f>
        <x:v>22928.1</x:v>
      </x:c>
      <x:c r="N54" s="191">
        <x:f>+'26 Detail'!J111</x:f>
        <x:v>22928.1</x:v>
      </x:c>
      <x:c r="O54" s="191">
        <x:f>+'26 Detail'!K111</x:f>
        <x:v>22928.1</x:v>
      </x:c>
      <x:c r="P54" s="191">
        <x:f>+'26 Detail'!L111</x:f>
        <x:v>22928.1</x:v>
      </x:c>
      <x:c r="Q54" s="191">
        <x:f>+'26 Detail'!M111</x:f>
        <x:v>22928.1</x:v>
      </x:c>
    </x:row>
    <x:row r="55" spans="3:17" ht="16.5">
      <x:c r="C55" s="159" t="s">
        <x:v>1172</x:v>
      </x:c>
      <x:c r="D55" s="191">
        <x:f t="shared" si="16"/>
        <x:v>554000</x:v>
      </x:c>
      <x:c r="E55" s="210"/>
      <x:c r="F55" s="191">
        <x:f>+'26 Detail'!B115</x:f>
        <x:v>48000</x:v>
      </x:c>
      <x:c r="G55" s="191">
        <x:f>+'26 Detail'!C115</x:f>
        <x:v>46000</x:v>
      </x:c>
      <x:c r="H55" s="191">
        <x:f>+'26 Detail'!D115</x:f>
        <x:v>46000</x:v>
      </x:c>
      <x:c r="I55" s="191">
        <x:f>+'26 Detail'!E115</x:f>
        <x:v>46000</x:v>
      </x:c>
      <x:c r="J55" s="191">
        <x:f>+'26 Detail'!F115</x:f>
        <x:v>46000</x:v>
      </x:c>
      <x:c r="K55" s="191">
        <x:f>+'26 Detail'!G115</x:f>
        <x:v>46000</x:v>
      </x:c>
      <x:c r="L55" s="191">
        <x:f>+'26 Detail'!H115</x:f>
        <x:v>46000</x:v>
      </x:c>
      <x:c r="M55" s="191">
        <x:f>+'26 Detail'!I115</x:f>
        <x:v>46000</x:v>
      </x:c>
      <x:c r="N55" s="191">
        <x:f>+'26 Detail'!J115</x:f>
        <x:v>46000</x:v>
      </x:c>
      <x:c r="O55" s="191">
        <x:f>+'26 Detail'!K115</x:f>
        <x:v>46000</x:v>
      </x:c>
      <x:c r="P55" s="191">
        <x:f>+'26 Detail'!L115</x:f>
        <x:v>46000</x:v>
      </x:c>
      <x:c r="Q55" s="191">
        <x:f>+'26 Detail'!M115</x:f>
        <x:v>46000</x:v>
      </x:c>
    </x:row>
    <x:row r="56" spans="3:17" ht="16.5">
      <x:c r="C56" s="159" t="s">
        <x:v>95</x:v>
      </x:c>
      <x:c r="D56" s="191">
        <x:f t="shared" si="16"/>
        <x:v>633000</x:v>
      </x:c>
      <x:c r="E56" s="210"/>
      <x:c r="F56" s="191">
        <x:f>+'26 Detail'!B123</x:f>
        <x:v>51500</x:v>
      </x:c>
      <x:c r="G56" s="191">
        <x:f>+'26 Detail'!C123</x:f>
        <x:v>51500</x:v>
      </x:c>
      <x:c r="H56" s="191">
        <x:f>+'26 Detail'!D123</x:f>
        <x:v>66500</x:v>
      </x:c>
      <x:c r="I56" s="191">
        <x:f>+'26 Detail'!E123</x:f>
        <x:v>51500</x:v>
      </x:c>
      <x:c r="J56" s="191">
        <x:f>+'26 Detail'!F123</x:f>
        <x:v>51500</x:v>
      </x:c>
      <x:c r="K56" s="191">
        <x:f>+'26 Detail'!G123</x:f>
        <x:v>51500</x:v>
      </x:c>
      <x:c r="L56" s="191">
        <x:f>+'26 Detail'!H123</x:f>
        <x:v>51500</x:v>
      </x:c>
      <x:c r="M56" s="191">
        <x:f>+'26 Detail'!I123</x:f>
        <x:v>51500</x:v>
      </x:c>
      <x:c r="N56" s="191">
        <x:f>+'26 Detail'!J123</x:f>
        <x:v>51500</x:v>
      </x:c>
      <x:c r="O56" s="191">
        <x:f>+'26 Detail'!K123</x:f>
        <x:v>51500</x:v>
      </x:c>
      <x:c r="P56" s="191">
        <x:f>+'26 Detail'!L123</x:f>
        <x:v>51500</x:v>
      </x:c>
      <x:c r="Q56" s="191">
        <x:f>+'26 Detail'!M123</x:f>
        <x:v>51500</x:v>
      </x:c>
    </x:row>
    <x:row r="57" spans="3:17" ht="16.5">
      <x:c r="C57" s="159" t="s">
        <x:v>1080</x:v>
      </x:c>
      <x:c r="D57" s="191">
        <x:f t="shared" si="16"/>
        <x:v>0</x:v>
      </x:c>
      <x:c r="E57" s="210"/>
      <x:c r="F57" s="191">
        <x:f>+'26 Detail'!B132</x:f>
        <x:v>0</x:v>
      </x:c>
      <x:c r="G57" s="191">
        <x:f>+'26 Detail'!C132</x:f>
        <x:v>0</x:v>
      </x:c>
      <x:c r="H57" s="191">
        <x:f>+'26 Detail'!D132</x:f>
        <x:v>0</x:v>
      </x:c>
      <x:c r="I57" s="191">
        <x:f>+'26 Detail'!E132</x:f>
        <x:v>0</x:v>
      </x:c>
      <x:c r="J57" s="191">
        <x:f>+'26 Detail'!F132</x:f>
        <x:v>0</x:v>
      </x:c>
      <x:c r="K57" s="191">
        <x:f>+'26 Detail'!G132</x:f>
        <x:v>0</x:v>
      </x:c>
      <x:c r="L57" s="191">
        <x:f>+'26 Detail'!H132</x:f>
        <x:v>0</x:v>
      </x:c>
      <x:c r="M57" s="191">
        <x:f>+'26 Detail'!I132</x:f>
        <x:v>0</x:v>
      </x:c>
      <x:c r="N57" s="191">
        <x:f>+'26 Detail'!J132</x:f>
        <x:v>0</x:v>
      </x:c>
      <x:c r="O57" s="191">
        <x:f>+'26 Detail'!K132</x:f>
        <x:v>0</x:v>
      </x:c>
      <x:c r="P57" s="191">
        <x:f>+'26 Detail'!L132</x:f>
        <x:v>0</x:v>
      </x:c>
      <x:c r="Q57" s="191">
        <x:f>+'26 Detail'!M132</x:f>
        <x:v>0</x:v>
      </x:c>
    </x:row>
    <x:row r="58" spans="3:17" ht="16.5">
      <x:c r="C58" s="159" t="s">
        <x:v>103</x:v>
      </x:c>
      <x:c r="D58" s="191">
        <x:f t="shared" si="16"/>
        <x:v>71000</x:v>
      </x:c>
      <x:c r="E58" s="210"/>
      <x:c r="F58" s="191">
        <x:f>+'26 Detail'!B141</x:f>
        <x:v>5500</x:v>
      </x:c>
      <x:c r="G58" s="191">
        <x:f>+'26 Detail'!C141</x:f>
        <x:v>5500</x:v>
      </x:c>
      <x:c r="H58" s="191">
        <x:f>+'26 Detail'!D141</x:f>
        <x:v>10500</x:v>
      </x:c>
      <x:c r="I58" s="191">
        <x:f>+'26 Detail'!E141</x:f>
        <x:v>5500</x:v>
      </x:c>
      <x:c r="J58" s="191">
        <x:f>+'26 Detail'!F141</x:f>
        <x:v>5500</x:v>
      </x:c>
      <x:c r="K58" s="191">
        <x:f>+'26 Detail'!G141</x:f>
        <x:v>5500</x:v>
      </x:c>
      <x:c r="L58" s="191">
        <x:f>+'26 Detail'!H141</x:f>
        <x:v>5500</x:v>
      </x:c>
      <x:c r="M58" s="191">
        <x:f>+'26 Detail'!I141</x:f>
        <x:v>5500</x:v>
      </x:c>
      <x:c r="N58" s="191">
        <x:f>+'26 Detail'!J141</x:f>
        <x:v>5500</x:v>
      </x:c>
      <x:c r="O58" s="191">
        <x:f>+'26 Detail'!K141</x:f>
        <x:v>5500</x:v>
      </x:c>
      <x:c r="P58" s="191">
        <x:f>+'26 Detail'!L141</x:f>
        <x:v>5500</x:v>
      </x:c>
      <x:c r="Q58" s="191">
        <x:f>+'26 Detail'!M141</x:f>
        <x:v>5500</x:v>
      </x:c>
    </x:row>
    <x:row r="59" spans="3:17" ht="16.5">
      <x:c r="C59" s="159" t="s">
        <x:v>104</x:v>
      </x:c>
      <x:c r="D59" s="191">
        <x:f t="shared" si="16"/>
        <x:v>230258.7298333334</x:v>
      </x:c>
      <x:c r="E59" s="210"/>
      <x:c r="F59" s="191">
        <x:f>+'26 Detail'!B150</x:f>
        <x:v>13544.631166666668</x:v>
      </x:c>
      <x:c r="G59" s="191">
        <x:f>+'26 Detail'!C150</x:f>
        <x:v>13544.631166666668</x:v>
      </x:c>
      <x:c r="H59" s="191">
        <x:f>+'26 Detail'!D150</x:f>
        <x:v>13544.631166666668</x:v>
      </x:c>
      <x:c r="I59" s="191">
        <x:f>+'26 Detail'!E150</x:f>
        <x:v>13544.631166666668</x:v>
      </x:c>
      <x:c r="J59" s="191">
        <x:f>+'26 Detail'!F150</x:f>
        <x:v>13544.631166666668</x:v>
      </x:c>
      <x:c r="K59" s="191">
        <x:f>+'26 Detail'!G150</x:f>
        <x:v>13544.631166666668</x:v>
      </x:c>
      <x:c r="L59" s="191">
        <x:f>+'26 Detail'!H150</x:f>
        <x:v>13544.631166666668</x:v>
      </x:c>
      <x:c r="M59" s="191">
        <x:f>+'26 Detail'!I150</x:f>
        <x:v>27089.262333333336</x:v>
      </x:c>
      <x:c r="N59" s="191">
        <x:f>+'26 Detail'!J150</x:f>
        <x:v>27089.262333333336</x:v>
      </x:c>
      <x:c r="O59" s="191">
        <x:f>+'26 Detail'!K150</x:f>
        <x:v>27089.262333333336</x:v>
      </x:c>
      <x:c r="P59" s="191">
        <x:f>+'26 Detail'!L150</x:f>
        <x:v>27089.262333333336</x:v>
      </x:c>
      <x:c r="Q59" s="191">
        <x:f>+'26 Detail'!M150</x:f>
        <x:v>27089.262333333336</x:v>
      </x:c>
    </x:row>
    <x:row r="60" spans="3:17" ht="16.5">
      <x:c r="C60" s="159" t="s">
        <x:v>945</x:v>
      </x:c>
      <x:c r="D60" s="191">
        <x:f t="shared" si="16"/>
        <x:v>928113.45585788356</x:v>
      </x:c>
      <x:c r="E60" s="210"/>
      <x:c r="F60" s="191">
        <x:f>+'26 Detail'!B157</x:f>
        <x:v>46765.533869095554</x:v>
      </x:c>
      <x:c r="G60" s="191">
        <x:f>+'26 Detail'!C157</x:f>
        <x:v>58361.204629517983</x:v>
      </x:c>
      <x:c r="H60" s="191">
        <x:f>+'26 Detail'!D157</x:f>
        <x:v>83073.069049222759</x:v>
      </x:c>
      <x:c r="I60" s="191">
        <x:f>+'26 Detail'!E157</x:f>
        <x:v>69298.849384090645</x:v>
      </x:c>
      <x:c r="J60" s="191">
        <x:f>+'26 Detail'!F157</x:f>
        <x:v>63412.363376986141</x:v>
      </x:c>
      <x:c r="K60" s="191">
        <x:f>+'26 Detail'!G157</x:f>
        <x:v>96620.583131220541</x:v>
      </x:c>
      <x:c r="L60" s="191">
        <x:f>+'26 Detail'!H157</x:f>
        <x:v>59147.594446575655</x:v>
      </x:c>
      <x:c r="M60" s="191">
        <x:f>+'26 Detail'!I157</x:f>
        <x:v>88067.574401108199</x:v>
      </x:c>
      <x:c r="N60" s="191">
        <x:f>+'26 Detail'!J157</x:f>
        <x:v>79525.320686477658</x:v>
      </x:c>
      <x:c r="O60" s="191">
        <x:f>+'26 Detail'!K157</x:f>
        <x:v>116831.75332863392</x:v>
      </x:c>
      <x:c r="P60" s="191">
        <x:f>+'26 Detail'!L157</x:f>
        <x:v>82793.84248742077</x:v>
      </x:c>
      <x:c r="Q60" s="191">
        <x:f>+'26 Detail'!M157</x:f>
        <x:v>84215.767067533685</x:v>
      </x:c>
    </x:row>
    <x:row r="61" spans="3:17" ht="16.5">
      <x:c r="C61" s="159" t="s">
        <x:v>111</x:v>
      </x:c>
      <x:c r="D61" s="191">
        <x:f t="shared" si="16"/>
        <x:v>4716753.5155999986</x:v>
      </x:c>
      <x:c r="E61" s="210"/>
      <x:c r="F61" s="191">
        <x:f>+'26 Detail'!B161</x:f>
        <x:v>520351.0723</x:v>
      </x:c>
      <x:c r="G61" s="191">
        <x:f>+'26 Detail'!C161</x:f>
        <x:v>331972.67229999998</x:v>
      </x:c>
      <x:c r="H61" s="191">
        <x:f>+'26 Detail'!D161</x:f>
        <x:v>331972.67229999998</x:v>
      </x:c>
      <x:c r="I61" s="191">
        <x:f>+'26 Detail'!E161</x:f>
        <x:v>337972.67229999998</x:v>
      </x:c>
      <x:c r="J61" s="191">
        <x:f>+'26 Detail'!F161</x:f>
        <x:v>529972.67229999998</x:v>
      </x:c>
      <x:c r="K61" s="191">
        <x:f>+'26 Detail'!G161</x:f>
        <x:v>331972.67229999998</x:v>
      </x:c>
      <x:c r="L61" s="191">
        <x:f>+'26 Detail'!H161</x:f>
        <x:v>344812.67229999998</x:v>
      </x:c>
      <x:c r="M61" s="191">
        <x:f>+'26 Detail'!I161</x:f>
        <x:v>338812.67229999998</x:v>
      </x:c>
      <x:c r="N61" s="191">
        <x:f>+'26 Detail'!J161</x:f>
        <x:v>409769.27230000001</x:v>
      </x:c>
      <x:c r="O61" s="191">
        <x:f>+'26 Detail'!K161</x:f>
        <x:v>344812.67229999998</x:v>
      </x:c>
      <x:c r="P61" s="191">
        <x:f>+'26 Detail'!L161</x:f>
        <x:v>338812.67229999998</x:v>
      </x:c>
      <x:c r="Q61" s="191">
        <x:f>+'26 Detail'!M161</x:f>
        <x:v>555519.12029999995</x:v>
      </x:c>
    </x:row>
    <x:row r="62" spans="3:17" ht="16.5">
      <x:c r="C62" s="159" t="s">
        <x:v>117</x:v>
      </x:c>
      <x:c r="D62" s="191">
        <x:f t="shared" si="16"/>
        <x:v>309341.64479999995</x:v>
      </x:c>
      <x:c r="E62" s="210"/>
      <x:c r="F62" s="191">
        <x:f>+'26 Detail'!B170</x:f>
        <x:v>25778.470399999998</x:v>
      </x:c>
      <x:c r="G62" s="191">
        <x:f>+'26 Detail'!C170</x:f>
        <x:v>25778.470399999998</x:v>
      </x:c>
      <x:c r="H62" s="191">
        <x:f>+'26 Detail'!D170</x:f>
        <x:v>25778.470399999998</x:v>
      </x:c>
      <x:c r="I62" s="191">
        <x:f>+'26 Detail'!E170</x:f>
        <x:v>25778.470399999998</x:v>
      </x:c>
      <x:c r="J62" s="191">
        <x:f>+'26 Detail'!F170</x:f>
        <x:v>25778.470399999998</x:v>
      </x:c>
      <x:c r="K62" s="191">
        <x:f>+'26 Detail'!G170</x:f>
        <x:v>25778.470399999998</x:v>
      </x:c>
      <x:c r="L62" s="191">
        <x:f>+'26 Detail'!H170</x:f>
        <x:v>25778.470399999998</x:v>
      </x:c>
      <x:c r="M62" s="191">
        <x:f>+'26 Detail'!I170</x:f>
        <x:v>25778.470399999998</x:v>
      </x:c>
      <x:c r="N62" s="191">
        <x:f>+'26 Detail'!J170</x:f>
        <x:v>25778.470399999998</x:v>
      </x:c>
      <x:c r="O62" s="191">
        <x:f>+'26 Detail'!K170</x:f>
        <x:v>25778.470399999998</x:v>
      </x:c>
      <x:c r="P62" s="191">
        <x:f>+'26 Detail'!L170</x:f>
        <x:v>25778.470399999998</x:v>
      </x:c>
      <x:c r="Q62" s="191">
        <x:f>+'26 Detail'!M170</x:f>
        <x:v>25778.470399999998</x:v>
      </x:c>
    </x:row>
    <x:row r="63" spans="3:17" ht="16.5">
      <x:c r="C63" s="159" t="s">
        <x:v>119</x:v>
      </x:c>
      <x:c r="D63" s="191">
        <x:f t="shared" si="16"/>
        <x:v>36000</x:v>
      </x:c>
      <x:c r="E63" s="210"/>
      <x:c r="F63" s="191">
        <x:f>+'26 Detail'!B176</x:f>
        <x:v>0</x:v>
      </x:c>
      <x:c r="G63" s="191">
        <x:f>+'26 Detail'!C176</x:f>
        <x:v>0</x:v>
      </x:c>
      <x:c r="H63" s="191">
        <x:f>+'26 Detail'!D176</x:f>
        <x:v>0</x:v>
      </x:c>
      <x:c r="I63" s="191">
        <x:f>+'26 Detail'!E176</x:f>
        <x:v>12000</x:v>
      </x:c>
      <x:c r="J63" s="191">
        <x:f>+'26 Detail'!F176</x:f>
        <x:v>0</x:v>
      </x:c>
      <x:c r="K63" s="191">
        <x:f>+'26 Detail'!G176</x:f>
        <x:v>0</x:v>
      </x:c>
      <x:c r="L63" s="191">
        <x:f>+'26 Detail'!H176</x:f>
        <x:v>0</x:v>
      </x:c>
      <x:c r="M63" s="191">
        <x:f>+'26 Detail'!I176</x:f>
        <x:v>12000</x:v>
      </x:c>
      <x:c r="N63" s="191">
        <x:f>+'26 Detail'!J176</x:f>
        <x:v>0</x:v>
      </x:c>
      <x:c r="O63" s="191">
        <x:f>+'26 Detail'!K176</x:f>
        <x:v>0</x:v>
      </x:c>
      <x:c r="P63" s="191">
        <x:f>+'26 Detail'!L176</x:f>
        <x:v>0</x:v>
      </x:c>
      <x:c r="Q63" s="191">
        <x:f>+'26 Detail'!M176</x:f>
        <x:v>12000</x:v>
      </x:c>
    </x:row>
    <x:row r="64" spans="3:17" ht="16.5">
      <x:c r="C64" s="159" t="s">
        <x:v>121</x:v>
      </x:c>
      <x:c r="D64" s="191">
        <x:f t="shared" si="16"/>
        <x:v>660000</x:v>
      </x:c>
      <x:c r="E64" s="210"/>
      <x:c r="F64" s="191">
        <x:f>+'26 Detail'!B180</x:f>
        <x:v>30000</x:v>
      </x:c>
      <x:c r="G64" s="191">
        <x:f>+'26 Detail'!C180</x:f>
        <x:v>30000</x:v>
      </x:c>
      <x:c r="H64" s="191">
        <x:f>+'26 Detail'!D180</x:f>
        <x:v>30000</x:v>
      </x:c>
      <x:c r="I64" s="191">
        <x:f>+'26 Detail'!E180</x:f>
        <x:v>30000</x:v>
      </x:c>
      <x:c r="J64" s="191">
        <x:f>+'26 Detail'!F180</x:f>
        <x:v>30000</x:v>
      </x:c>
      <x:c r="K64" s="191">
        <x:f>+'26 Detail'!G180</x:f>
        <x:v>30000</x:v>
      </x:c>
      <x:c r="L64" s="191">
        <x:f>+'26 Detail'!H180</x:f>
        <x:v>30000</x:v>
      </x:c>
      <x:c r="M64" s="191">
        <x:f>+'26 Detail'!I180</x:f>
        <x:v>30000</x:v>
      </x:c>
      <x:c r="N64" s="191">
        <x:f>+'26 Detail'!J180</x:f>
        <x:v>30000</x:v>
      </x:c>
      <x:c r="O64" s="191">
        <x:f>+'26 Detail'!K180</x:f>
        <x:v>30000</x:v>
      </x:c>
      <x:c r="P64" s="191">
        <x:f>+'26 Detail'!L180</x:f>
        <x:v>30000</x:v>
      </x:c>
      <x:c r="Q64" s="191">
        <x:f>+'26 Detail'!M180</x:f>
        <x:v>330000</x:v>
      </x:c>
    </x:row>
    <x:row r="65" spans="2:20" ht="16.5">
      <x:c r="C65" s="159" t="s">
        <x:v>124</x:v>
      </x:c>
      <x:c r="D65" s="191">
        <x:f t="shared" si="16"/>
        <x:v>96000</x:v>
      </x:c>
      <x:c r="E65" s="210"/>
      <x:c r="F65" s="191">
        <x:f>+'26 Detail'!B184</x:f>
        <x:v>8000</x:v>
      </x:c>
      <x:c r="G65" s="191">
        <x:f>+'26 Detail'!C184</x:f>
        <x:v>8000</x:v>
      </x:c>
      <x:c r="H65" s="191">
        <x:f>+'26 Detail'!D184</x:f>
        <x:v>8000</x:v>
      </x:c>
      <x:c r="I65" s="191">
        <x:f>+'26 Detail'!E184</x:f>
        <x:v>8000</x:v>
      </x:c>
      <x:c r="J65" s="191">
        <x:f>+'26 Detail'!F184</x:f>
        <x:v>8000</x:v>
      </x:c>
      <x:c r="K65" s="191">
        <x:f>+'26 Detail'!G184</x:f>
        <x:v>8000</x:v>
      </x:c>
      <x:c r="L65" s="191">
        <x:f>+'26 Detail'!H184</x:f>
        <x:v>8000</x:v>
      </x:c>
      <x:c r="M65" s="191">
        <x:f>+'26 Detail'!I184</x:f>
        <x:v>8000</x:v>
      </x:c>
      <x:c r="N65" s="191">
        <x:f>+'26 Detail'!J184</x:f>
        <x:v>8000</x:v>
      </x:c>
      <x:c r="O65" s="191">
        <x:f>+'26 Detail'!K184</x:f>
        <x:v>8000</x:v>
      </x:c>
      <x:c r="P65" s="191">
        <x:f>+'26 Detail'!L184</x:f>
        <x:v>8000</x:v>
      </x:c>
      <x:c r="Q65" s="191">
        <x:f>+'26 Detail'!M184</x:f>
        <x:v>8000</x:v>
      </x:c>
    </x:row>
    <x:row r="66" spans="2:20" ht="16.5">
      <x:c r="C66" s="215" t="s">
        <x:v>946</x:v>
      </x:c>
      <x:c r="D66" s="191">
        <x:f>SUM(F66:Q66)</x:f>
        <x:v>1252710.6146607145</x:v>
      </x:c>
      <x:c r="E66" s="210"/>
      <x:c r="F66" s="906">
        <x:f>'26 Detail'!B190</x:f>
        <x:v>104392.55122172619</x:v>
      </x:c>
      <x:c r="G66" s="906">
        <x:f>'26 Detail'!C190</x:f>
        <x:v>104392.55122172619</x:v>
      </x:c>
      <x:c r="H66" s="906">
        <x:f>'26 Detail'!D190</x:f>
        <x:v>104392.55122172619</x:v>
      </x:c>
      <x:c r="I66" s="906">
        <x:f>'26 Detail'!E190</x:f>
        <x:v>104392.55122172619</x:v>
      </x:c>
      <x:c r="J66" s="906">
        <x:f>'26 Detail'!F190</x:f>
        <x:v>104392.55122172619</x:v>
      </x:c>
      <x:c r="K66" s="906">
        <x:f>'26 Detail'!G190</x:f>
        <x:v>104392.55122172619</x:v>
      </x:c>
      <x:c r="L66" s="906">
        <x:f>'26 Detail'!H190</x:f>
        <x:v>104392.55122172619</x:v>
      </x:c>
      <x:c r="M66" s="906">
        <x:f>'26 Detail'!I190</x:f>
        <x:v>104392.55122172619</x:v>
      </x:c>
      <x:c r="N66" s="906">
        <x:f>'26 Detail'!J190</x:f>
        <x:v>104392.55122172619</x:v>
      </x:c>
      <x:c r="O66" s="906">
        <x:f>'26 Detail'!K190</x:f>
        <x:v>104392.55122172619</x:v>
      </x:c>
      <x:c r="P66" s="906">
        <x:f>'26 Detail'!L190</x:f>
        <x:v>104392.55122172619</x:v>
      </x:c>
      <x:c r="Q66" s="906">
        <x:f>'26 Detail'!M190</x:f>
        <x:v>104392.55122172619</x:v>
      </x:c>
      <x:c r="R66" s="906"/>
      <x:c r="S66" s="906"/>
    </x:row>
    <x:row r="67" spans="2:20" ht="16.5">
      <x:c r="C67" s="216" t="s">
        <x:v>946</x:v>
      </x:c>
      <x:c r="D67" s="217"/>
      <x:c r="E67" s="217"/>
      <x:c r="F67" s="217"/>
      <x:c r="G67" s="217"/>
      <x:c r="H67" s="217"/>
      <x:c r="I67" s="217"/>
      <x:c r="J67" s="217"/>
      <x:c r="K67" s="217"/>
      <x:c r="L67" s="217"/>
      <x:c r="M67" s="217"/>
      <x:c r="N67" s="217"/>
      <x:c r="O67" s="217"/>
      <x:c r="P67" s="217"/>
      <x:c r="Q67" s="217"/>
      <x:c r="R67" s="217"/>
      <x:c r="S67" s="217"/>
      <x:c r="T67" s="190" t="s">
        <x:v>947</x:v>
      </x:c>
    </x:row>
    <x:row r="68" spans="2:20" ht="16.5">
      <x:c r="C68" s="216" t="s">
        <x:v>948</x:v>
      </x:c>
      <x:c r="D68" s="217">
        <x:f>SUM(F68:Q68)</x:f>
        <x:v>74249076.468630686</x:v>
      </x:c>
      <x:c r="E68" s="217"/>
      <x:c r="F68" s="217">
        <x:f>IFERROR(F5*4%,"")</x:f>
        <x:v>3741242.7095276448</x:v>
      </x:c>
      <x:c r="G68" s="217">
        <x:f t="shared" ref="G68:Q68" si="17">IFERROR(G5*4%,"")</x:f>
        <x:v>4668896.370361439</x:v>
      </x:c>
      <x:c r="H68" s="217">
        <x:f t="shared" si="17"/>
        <x:v>6645845.5239378205</x:v>
      </x:c>
      <x:c r="I68" s="217">
        <x:f t="shared" si="17"/>
        <x:v>5543907.9507272523</x:v>
      </x:c>
      <x:c r="J68" s="217">
        <x:f t="shared" si="17"/>
        <x:v>5072989.0701588914</x:v>
      </x:c>
      <x:c r="K68" s="217">
        <x:f>IFERROR(K5*4%,"")</x:f>
        <x:v>7729646.6504976433</x:v>
      </x:c>
      <x:c r="L68" s="217">
        <x:f t="shared" si="17"/>
        <x:v>4731807.5557260523</x:v>
      </x:c>
      <x:c r="M68" s="217">
        <x:f t="shared" si="17"/>
        <x:v>7045405.952088655</x:v>
      </x:c>
      <x:c r="N68" s="217">
        <x:f t="shared" si="17"/>
        <x:v>6362025.6549182134</x:v>
      </x:c>
      <x:c r="O68" s="217">
        <x:f t="shared" si="17"/>
        <x:v>9346540.2662907131</x:v>
      </x:c>
      <x:c r="P68" s="217">
        <x:f t="shared" si="17"/>
        <x:v>6623507.3989936616</x:v>
      </x:c>
      <x:c r="Q68" s="217">
        <x:f t="shared" si="17"/>
        <x:v>6737261.3654026948</x:v>
      </x:c>
      <x:c r="R68" s="217"/>
      <x:c r="S68" s="217"/>
      <x:c r="T68" s="190" t="s">
        <x:v>949</x:v>
      </x:c>
    </x:row>
    <x:row r="69" spans="2:20" ht="16.5">
      <x:c r="C69" s="159"/>
      <x:c r="E69" s="210"/>
      <x:c r="F69" s="218">
        <x:f t="shared" ref="F69:Q69" si="18">IFERROR(SUM(F43,F34)/F5,"")</x:f>
        <x:v>0.11704321169786215</x:v>
      </x:c>
      <x:c r="G69" s="218">
        <x:f t="shared" si="18"/>
        <x:v>0.11204763134902815</x:v>
      </x:c>
      <x:c r="H69" s="218">
        <x:f t="shared" si="18"/>
        <x:v>9.1499693481802744E-2</x:v>
      </x:c>
      <x:c r="I69" s="218">
        <x:f t="shared" si="18"/>
        <x:v>0.11140763563938436</x:v>
      </x:c>
      <x:c r="J69" s="218">
        <x:f t="shared" si="18"/>
        <x:v>0.12059951619749955</x:v>
      </x:c>
      <x:c r="K69" s="218">
        <x:f t="shared" si="18"/>
        <x:v>9.9756786574919196E-2</x:v>
      </x:c>
      <x:c r="L69" s="218">
        <x:f t="shared" si="18"/>
        <x:v>0.11417224012866638</x:v>
      </x:c>
      <x:c r="M69" s="218">
        <x:f t="shared" si="18"/>
        <x:v>9.4932741639231835E-2</x:v>
      </x:c>
      <x:c r="N69" s="218">
        <x:f t="shared" si="18"/>
        <x:v>0.10004362839207698</x:v>
      </x:c>
      <x:c r="O69" s="218">
        <x:f t="shared" si="18"/>
        <x:v>8.3044726699053287E-2</x:v>
      </x:c>
      <x:c r="P69" s="218">
        <x:f t="shared" si="18"/>
        <x:v>9.5669393257859697E-2</x:v>
      </x:c>
      <x:c r="Q69" s="218">
        <x:f t="shared" si="18"/>
        <x:v>0.11476086247369602</x:v>
      </x:c>
      <x:c r="R69" s="218"/>
      <x:c r="S69" s="218"/>
    </x:row>
    <x:row r="70" spans="2:20" ht="16.5">
      <x:c r="B70" s="201" t="s">
        <x:v>950</x:v>
      </x:c>
      <x:c r="C70" s="201" t="s">
        <x:v>951</x:v>
      </x:c>
      <x:c r="D70" s="202">
        <x:f t="shared" ref="D70" si="19">SUM(F70:Q70)</x:f>
        <x:v>200009453.07208577</x:v>
      </x:c>
      <x:c r="E70" s="202"/>
      <x:c r="F70" s="202">
        <x:f>+F32-F43-F34</x:f>
        <x:v>10861933.047082923</x:v>
      </x:c>
      <x:c r="G70" s="202">
        <x:f t="shared" ref="G70:Q70" si="20">+G32-G43-G34</x:f>
        <x:v>14221416.331813283</x:v>
      </x:c>
      <x:c r="H70" s="202">
        <x:f t="shared" si="20"/>
        <x:v>23734057.975302413</x:v>
      </x:c>
      <x:c r="I70" s="202">
        <x:f t="shared" si="20"/>
        <x:v>17163540.877444278</x:v>
      </x:c>
      <x:c r="J70" s="202">
        <x:f t="shared" si="20"/>
        <x:v>14885295.430777356</x:v>
      </x:c>
      <x:c r="K70" s="202">
        <x:f t="shared" si="20"/>
        <x:v>26022985.534488734</x:v>
      </x:c>
      <x:c r="L70" s="202">
        <x:f t="shared" si="20"/>
        <x:v>14354524.722462164</x:v>
      </x:c>
      <x:c r="M70" s="202">
        <x:f>+M32-M43-M34</x:f>
        <x:v>24541024.74810214</x:v>
      </x:c>
      <x:c r="N70" s="202">
        <x:f t="shared" si="20"/>
        <x:v>21357396.418932073</x:v>
      </x:c>
      <x:c r="O70" s="202">
        <x:f t="shared" si="20"/>
        <x:v>19730948.33061561</x:v>
      </x:c>
      <x:c r="P70" s="202">
        <x:f t="shared" si="20"/>
        <x:v>7425423.1994547658</x:v>
      </x:c>
      <x:c r="Q70" s="202">
        <x:f t="shared" si="20"/>
        <x:v>5710906.4556100266</x:v>
      </x:c>
      <x:c r="R70" s="202"/>
      <x:c r="S70" s="202"/>
    </x:row>
    <x:row r="71" spans="2:20" ht="16.5">
      <x:c r="B71" s="219" t="s">
        <x:v>952</x:v>
      </x:c>
      <x:c r="C71" s="219" t="s">
        <x:v>953</x:v>
      </x:c>
      <x:c r="D71" s="220">
        <x:f>+IFERROR(D70/D5,)</x:f>
        <x:v>0.1077505405237396</x:v>
      </x:c>
      <x:c r="E71" s="220"/>
      <x:c r="F71" s="220">
        <x:f t="shared" ref="F71:Q71" si="21">+IFERROR(F70/F5,)</x:f>
        <x:v>0.11613181918854242</x:v>
      </x:c>
      <x:c r="G71" s="220">
        <x:f t="shared" si="21"/>
        <x:v>0.12183964006647974</x:v>
      </x:c>
      <x:c r="H71" s="220">
        <x:f t="shared" si="21"/>
        <x:v>0.1428504944318322</x:v>
      </x:c>
      <x:c r="I71" s="220">
        <x:f t="shared" si="21"/>
        <x:v>0.1238371273837096</x:v>
      </x:c>
      <x:c r="J71" s="220">
        <x:f t="shared" si="21"/>
        <x:v>0.11736903214192128</x:v>
      </x:c>
      <x:c r="K71" s="220">
        <x:f t="shared" si="21"/>
        <x:v>0.13466584805820767</x:v>
      </x:c>
      <x:c r="L71" s="220">
        <x:f t="shared" si="21"/>
        <x:v>0.12134495795452606</x:v>
      </x:c>
      <x:c r="M71" s="220">
        <x:f t="shared" si="21"/>
        <x:v>0.13933064987306684</x:v>
      </x:c>
      <x:c r="N71" s="220">
        <x:f t="shared" si="21"/>
        <x:v>0.13428047969232298</x:v>
      </x:c>
      <x:c r="O71" s="220">
        <x:f t="shared" si="21"/>
        <x:v>8.4441719688631151E-2</x:v>
      </x:c>
      <x:c r="P71" s="220">
        <x:f t="shared" si="21"/>
        <x:v>4.4842846861364978E-2</x:v>
      </x:c>
      <x:c r="Q71" s="220">
        <x:f t="shared" si="21"/>
        <x:v>3.3906396951953063E-2</x:v>
      </x:c>
      <x:c r="R71" s="220"/>
      <x:c r="S71" s="220"/>
    </x:row>
    <x:row r="72" spans="2:20" ht="16.5" hidden="1" outlineLevel="1">
      <x:c r="B72" s="201" t="s">
        <x:v>954</x:v>
      </x:c>
      <x:c r="C72" s="201" t="s">
        <x:v>134</x:v>
      </x:c>
      <x:c r="D72" s="202">
        <x:f>SUM(F72:Q72)</x:f>
        <x:v>21926388.419340618</x:v>
      </x:c>
      <x:c r="E72" s="202"/>
      <x:c r="F72" s="202">
        <x:f>SUM(F73:F83)</x:f>
        <x:v>1104821.0256835578</x:v>
      </x:c>
      <x:c r="G72" s="202">
        <x:f t="shared" ref="G72:Q72" si="22">SUM(G73:G83)</x:f>
        <x:v>1378765.099515351</x:v>
      </x:c>
      <x:c r="H72" s="202">
        <x:f>SUM(H73:H83)</x:f>
        <x:v>1962575.1223230574</x:v>
      </x:c>
      <x:c r="I72" s="202">
        <x:f t="shared" si="22"/>
        <x:v>1637163.5159674087</x:v>
      </x:c>
      <x:c r="J72" s="202">
        <x:f t="shared" si="22"/>
        <x:v>1498097.1358797671</x:v>
      </x:c>
      <x:c r="K72" s="202">
        <x:f t="shared" si="22"/>
        <x:v>2282630.8805964892</x:v>
      </x:c>
      <x:c r="L72" s="202">
        <x:f t="shared" si="22"/>
        <x:v>1397343.3115528899</x:v>
      </x:c>
      <x:c r="M72" s="202">
        <x:f t="shared" si="22"/>
        <x:v>2080568.7400394289</x:v>
      </x:c>
      <x:c r="N72" s="202">
        <x:f t="shared" si="22"/>
        <x:v>1878760.6833397052</x:v>
      </x:c>
      <x:c r="O72" s="202">
        <x:f t="shared" si="22"/>
        <x:v>2760113.4182763924</x:v>
      </x:c>
      <x:c r="P72" s="202">
        <x:f t="shared" si="22"/>
        <x:v>1955978.4826423966</x:v>
      </x:c>
      <x:c r="Q72" s="202">
        <x:f t="shared" si="22"/>
        <x:v>1989571.0035241731</x:v>
      </x:c>
      <x:c r="R72" s="202"/>
      <x:c r="S72" s="202"/>
    </x:row>
    <x:row r="73" spans="2:20" ht="16.5" hidden="1" outlineLevel="1">
      <x:c r="C73" s="213" t="s">
        <x:v>135</x:v>
      </x:c>
      <x:c r="D73" s="191">
        <x:f>SUM(F73:Q73)</x:f>
        <x:v>21926388.419340618</x:v>
      </x:c>
      <x:c r="F73" s="194">
        <x:f>'26 Detail'!B201</x:f>
        <x:v>1104821.0256835578</x:v>
      </x:c>
      <x:c r="G73" s="194">
        <x:f>'26 Detail'!C201</x:f>
        <x:v>1378765.099515351</x:v>
      </x:c>
      <x:c r="H73" s="194">
        <x:f>'26 Detail'!D201</x:f>
        <x:v>1962575.1223230574</x:v>
      </x:c>
      <x:c r="I73" s="194">
        <x:f>'26 Detail'!E201</x:f>
        <x:v>1637163.5159674087</x:v>
      </x:c>
      <x:c r="J73" s="194">
        <x:f>'26 Detail'!F201</x:f>
        <x:v>1498097.1358797671</x:v>
      </x:c>
      <x:c r="K73" s="194">
        <x:f>'26 Detail'!G201</x:f>
        <x:v>2282630.8805964892</x:v>
      </x:c>
      <x:c r="L73" s="194">
        <x:f>'26 Detail'!H201</x:f>
        <x:v>1397343.3115528899</x:v>
      </x:c>
      <x:c r="M73" s="194">
        <x:f>'26 Detail'!I201</x:f>
        <x:v>2080568.7400394289</x:v>
      </x:c>
      <x:c r="N73" s="194">
        <x:f>'26 Detail'!J201</x:f>
        <x:v>1878760.6833397052</x:v>
      </x:c>
      <x:c r="O73" s="194">
        <x:f>'26 Detail'!K201</x:f>
        <x:v>2760113.4182763924</x:v>
      </x:c>
      <x:c r="P73" s="194">
        <x:f>'26 Detail'!L201</x:f>
        <x:v>1955978.4826423966</x:v>
      </x:c>
      <x:c r="Q73" s="194">
        <x:f>'26 Detail'!M201</x:f>
        <x:v>1989571.0035241731</x:v>
      </x:c>
      <x:c r="R73" s="194"/>
      <x:c r="S73" s="194"/>
    </x:row>
    <x:row r="74" spans="2:20" ht="16.5" hidden="1" outlineLevel="1">
      <x:c r="C74" s="221" t="s">
        <x:v>136</x:v>
      </x:c>
      <x:c r="D74" s="191">
        <x:f t="shared" ref="D74:D84" si="23">SUM(F74:Q74)</x:f>
        <x:v>0</x:v>
      </x:c>
      <x:c r="F74" s="194">
        <x:f>'26 Detail'!B202</x:f>
        <x:v>0</x:v>
      </x:c>
      <x:c r="G74" s="194">
        <x:f>'26 Detail'!C202</x:f>
        <x:v>0</x:v>
      </x:c>
      <x:c r="H74" s="194">
        <x:f>'26 Detail'!D202</x:f>
        <x:v>0</x:v>
      </x:c>
      <x:c r="I74" s="194">
        <x:f>'26 Detail'!E202</x:f>
        <x:v>0</x:v>
      </x:c>
      <x:c r="J74" s="194">
        <x:f>'26 Detail'!F202</x:f>
        <x:v>0</x:v>
      </x:c>
      <x:c r="K74" s="194">
        <x:f>'26 Detail'!G202</x:f>
        <x:v>0</x:v>
      </x:c>
      <x:c r="L74" s="194">
        <x:f>'26 Detail'!H202</x:f>
        <x:v>0</x:v>
      </x:c>
      <x:c r="M74" s="194">
        <x:f>'26 Detail'!I202</x:f>
        <x:v>0</x:v>
      </x:c>
      <x:c r="N74" s="194">
        <x:f>'26 Detail'!J202</x:f>
        <x:v>0</x:v>
      </x:c>
      <x:c r="O74" s="194">
        <x:f>'26 Detail'!K202</x:f>
        <x:v>0</x:v>
      </x:c>
      <x:c r="P74" s="194">
        <x:f>'26 Detail'!L202</x:f>
        <x:v>0</x:v>
      </x:c>
      <x:c r="Q74" s="194">
        <x:f>'26 Detail'!M202</x:f>
        <x:v>0</x:v>
      </x:c>
      <x:c r="R74" s="194"/>
      <x:c r="S74" s="194"/>
      <x:c r="T74" s="194"/>
    </x:row>
    <x:row r="75" spans="2:20" ht="16.5" hidden="1" outlineLevel="1">
      <x:c r="C75" s="221" t="s">
        <x:v>137</x:v>
      </x:c>
      <x:c r="D75" s="191">
        <x:f t="shared" si="23"/>
        <x:v>0</x:v>
      </x:c>
      <x:c r="F75" s="194">
        <x:f>'26 Detail'!B203</x:f>
        <x:v>0</x:v>
      </x:c>
      <x:c r="G75" s="194">
        <x:f>'26 Detail'!C203</x:f>
        <x:v>0</x:v>
      </x:c>
      <x:c r="H75" s="194">
        <x:f>'26 Detail'!D203</x:f>
        <x:v>0</x:v>
      </x:c>
      <x:c r="I75" s="194">
        <x:f>'26 Detail'!E203</x:f>
        <x:v>0</x:v>
      </x:c>
      <x:c r="J75" s="194">
        <x:f>'26 Detail'!F203</x:f>
        <x:v>0</x:v>
      </x:c>
      <x:c r="K75" s="194">
        <x:f>'26 Detail'!G203</x:f>
        <x:v>0</x:v>
      </x:c>
      <x:c r="L75" s="194">
        <x:f>'26 Detail'!H203</x:f>
        <x:v>0</x:v>
      </x:c>
      <x:c r="M75" s="194">
        <x:f>'26 Detail'!I203</x:f>
        <x:v>0</x:v>
      </x:c>
      <x:c r="N75" s="194">
        <x:f>'26 Detail'!J203</x:f>
        <x:v>0</x:v>
      </x:c>
      <x:c r="O75" s="194">
        <x:f>'26 Detail'!K203</x:f>
        <x:v>0</x:v>
      </x:c>
      <x:c r="P75" s="194">
        <x:f>'26 Detail'!L203</x:f>
        <x:v>0</x:v>
      </x:c>
      <x:c r="Q75" s="194">
        <x:f>'26 Detail'!M203</x:f>
        <x:v>0</x:v>
      </x:c>
      <x:c r="R75" s="194"/>
      <x:c r="S75" s="194"/>
    </x:row>
    <x:row r="76" spans="2:20" ht="16.5" hidden="1" outlineLevel="1">
      <x:c r="C76" s="221" t="s">
        <x:v>138</x:v>
      </x:c>
      <x:c r="D76" s="191">
        <x:f t="shared" si="23"/>
        <x:v>0</x:v>
      </x:c>
      <x:c r="F76" s="194">
        <x:f>'26 Detail'!B204</x:f>
        <x:v>0</x:v>
      </x:c>
      <x:c r="G76" s="194">
        <x:f>'26 Detail'!C204</x:f>
        <x:v>0</x:v>
      </x:c>
      <x:c r="H76" s="194">
        <x:f>'26 Detail'!D204</x:f>
        <x:v>0</x:v>
      </x:c>
      <x:c r="I76" s="194">
        <x:f>'26 Detail'!E204</x:f>
        <x:v>0</x:v>
      </x:c>
      <x:c r="J76" s="194">
        <x:f>'26 Detail'!F204</x:f>
        <x:v>0</x:v>
      </x:c>
      <x:c r="K76" s="194">
        <x:f>'26 Detail'!G204</x:f>
        <x:v>0</x:v>
      </x:c>
      <x:c r="L76" s="194">
        <x:f>'26 Detail'!H204</x:f>
        <x:v>0</x:v>
      </x:c>
      <x:c r="M76" s="194">
        <x:f>'26 Detail'!I204</x:f>
        <x:v>0</x:v>
      </x:c>
      <x:c r="N76" s="194">
        <x:f>'26 Detail'!J204</x:f>
        <x:v>0</x:v>
      </x:c>
      <x:c r="O76" s="194">
        <x:f>'26 Detail'!K204</x:f>
        <x:v>0</x:v>
      </x:c>
      <x:c r="P76" s="194">
        <x:f>'26 Detail'!L204</x:f>
        <x:v>0</x:v>
      </x:c>
      <x:c r="Q76" s="194">
        <x:f>'26 Detail'!M204</x:f>
        <x:v>0</x:v>
      </x:c>
      <x:c r="R76" s="194"/>
      <x:c r="S76" s="194"/>
    </x:row>
    <x:row r="77" spans="2:20" ht="16.5" hidden="1" outlineLevel="1">
      <x:c r="C77" s="222" t="s">
        <x:v>955</x:v>
      </x:c>
      <x:c r="D77" s="191">
        <x:f t="shared" si="23"/>
        <x:v>0</x:v>
      </x:c>
      <x:c r="F77" s="194">
        <x:f>'26 Detail'!B205</x:f>
        <x:v>0</x:v>
      </x:c>
      <x:c r="G77" s="194">
        <x:f>'26 Detail'!C205</x:f>
        <x:v>0</x:v>
      </x:c>
      <x:c r="H77" s="194">
        <x:f>'26 Detail'!D205</x:f>
        <x:v>0</x:v>
      </x:c>
      <x:c r="I77" s="194">
        <x:f>'26 Detail'!E205</x:f>
        <x:v>0</x:v>
      </x:c>
      <x:c r="J77" s="194">
        <x:f>'26 Detail'!F205</x:f>
        <x:v>0</x:v>
      </x:c>
      <x:c r="K77" s="194">
        <x:f>'26 Detail'!G205</x:f>
        <x:v>0</x:v>
      </x:c>
      <x:c r="L77" s="194">
        <x:f>'26 Detail'!H205</x:f>
        <x:v>0</x:v>
      </x:c>
      <x:c r="M77" s="194">
        <x:f>'26 Detail'!I205</x:f>
        <x:v>0</x:v>
      </x:c>
      <x:c r="N77" s="194">
        <x:f>'26 Detail'!J205</x:f>
        <x:v>0</x:v>
      </x:c>
      <x:c r="O77" s="194">
        <x:f>'26 Detail'!K205</x:f>
        <x:v>0</x:v>
      </x:c>
      <x:c r="P77" s="194">
        <x:f>'26 Detail'!L205</x:f>
        <x:v>0</x:v>
      </x:c>
      <x:c r="Q77" s="194">
        <x:f>'26 Detail'!M205</x:f>
        <x:v>0</x:v>
      </x:c>
      <x:c r="R77" s="194"/>
      <x:c r="S77" s="194"/>
    </x:row>
    <x:row r="78" spans="2:20" ht="16.5" hidden="1" outlineLevel="1">
      <x:c r="C78" s="222" t="s">
        <x:v>956</x:v>
      </x:c>
      <x:c r="D78" s="191">
        <x:f t="shared" si="23"/>
        <x:v>0</x:v>
      </x:c>
      <x:c r="F78" s="194">
        <x:f>'26 Detail'!B206</x:f>
        <x:v>0</x:v>
      </x:c>
      <x:c r="G78" s="194">
        <x:f>'26 Detail'!C206</x:f>
        <x:v>0</x:v>
      </x:c>
      <x:c r="H78" s="194">
        <x:f>'26 Detail'!D206</x:f>
        <x:v>0</x:v>
      </x:c>
      <x:c r="I78" s="194">
        <x:f>'26 Detail'!E206</x:f>
        <x:v>0</x:v>
      </x:c>
      <x:c r="J78" s="194">
        <x:f>'26 Detail'!F206</x:f>
        <x:v>0</x:v>
      </x:c>
      <x:c r="K78" s="194">
        <x:f>'26 Detail'!G206</x:f>
        <x:v>0</x:v>
      </x:c>
      <x:c r="L78" s="194">
        <x:f>'26 Detail'!H206</x:f>
        <x:v>0</x:v>
      </x:c>
      <x:c r="M78" s="194">
        <x:f>'26 Detail'!I206</x:f>
        <x:v>0</x:v>
      </x:c>
      <x:c r="N78" s="194">
        <x:f>'26 Detail'!J206</x:f>
        <x:v>0</x:v>
      </x:c>
      <x:c r="O78" s="194">
        <x:f>'26 Detail'!K206</x:f>
        <x:v>0</x:v>
      </x:c>
      <x:c r="P78" s="194">
        <x:f>'26 Detail'!L206</x:f>
        <x:v>0</x:v>
      </x:c>
      <x:c r="Q78" s="194">
        <x:f>'26 Detail'!M206</x:f>
        <x:v>0</x:v>
      </x:c>
      <x:c r="R78" s="194"/>
      <x:c r="S78" s="194"/>
    </x:row>
    <x:row r="79" spans="2:20" ht="16.5" hidden="1" outlineLevel="1">
      <x:c r="C79" s="222" t="s">
        <x:v>957</x:v>
      </x:c>
      <x:c r="D79" s="191">
        <x:f t="shared" si="23"/>
        <x:v>0</x:v>
      </x:c>
      <x:c r="F79" s="194">
        <x:f>'26 Detail'!B207</x:f>
        <x:v>0</x:v>
      </x:c>
      <x:c r="G79" s="194">
        <x:f>'26 Detail'!C207</x:f>
        <x:v>0</x:v>
      </x:c>
      <x:c r="H79" s="194">
        <x:f>'26 Detail'!D207</x:f>
        <x:v>0</x:v>
      </x:c>
      <x:c r="I79" s="194">
        <x:f>'26 Detail'!E207</x:f>
        <x:v>0</x:v>
      </x:c>
      <x:c r="J79" s="194">
        <x:f>'26 Detail'!F207</x:f>
        <x:v>0</x:v>
      </x:c>
      <x:c r="K79" s="194">
        <x:f>'26 Detail'!G207</x:f>
        <x:v>0</x:v>
      </x:c>
      <x:c r="L79" s="194">
        <x:f>'26 Detail'!H207</x:f>
        <x:v>0</x:v>
      </x:c>
      <x:c r="M79" s="194">
        <x:f>'26 Detail'!I207</x:f>
        <x:v>0</x:v>
      </x:c>
      <x:c r="N79" s="194">
        <x:f>'26 Detail'!J207</x:f>
        <x:v>0</x:v>
      </x:c>
      <x:c r="O79" s="194">
        <x:f>'26 Detail'!K207</x:f>
        <x:v>0</x:v>
      </x:c>
      <x:c r="P79" s="194">
        <x:f>'26 Detail'!L207</x:f>
        <x:v>0</x:v>
      </x:c>
      <x:c r="Q79" s="194">
        <x:f>'26 Detail'!M207</x:f>
        <x:v>0</x:v>
      </x:c>
      <x:c r="R79" s="194"/>
      <x:c r="S79" s="194"/>
    </x:row>
    <x:row r="80" spans="2:20" ht="16.5" hidden="1" outlineLevel="1">
      <x:c r="C80" s="221" t="s">
        <x:v>957</x:v>
      </x:c>
      <x:c r="D80" s="191">
        <x:f t="shared" si="23"/>
        <x:v>0</x:v>
      </x:c>
      <x:c r="F80" s="194">
        <x:f>'26 Detail'!B208</x:f>
        <x:v>0</x:v>
      </x:c>
      <x:c r="G80" s="194">
        <x:f>'26 Detail'!C208</x:f>
        <x:v>0</x:v>
      </x:c>
      <x:c r="H80" s="194">
        <x:f>'26 Detail'!D208</x:f>
        <x:v>0</x:v>
      </x:c>
      <x:c r="I80" s="194">
        <x:f>'26 Detail'!E208</x:f>
        <x:v>0</x:v>
      </x:c>
      <x:c r="J80" s="194">
        <x:f>'26 Detail'!F208</x:f>
        <x:v>0</x:v>
      </x:c>
      <x:c r="K80" s="194">
        <x:f>'26 Detail'!G208</x:f>
        <x:v>0</x:v>
      </x:c>
      <x:c r="L80" s="194">
        <x:f>'26 Detail'!H208</x:f>
        <x:v>0</x:v>
      </x:c>
      <x:c r="M80" s="194">
        <x:f>'26 Detail'!I208</x:f>
        <x:v>0</x:v>
      </x:c>
      <x:c r="N80" s="194">
        <x:f>'26 Detail'!J208</x:f>
        <x:v>0</x:v>
      </x:c>
      <x:c r="O80" s="194">
        <x:f>'26 Detail'!K208</x:f>
        <x:v>0</x:v>
      </x:c>
      <x:c r="P80" s="194">
        <x:f>'26 Detail'!L208</x:f>
        <x:v>0</x:v>
      </x:c>
      <x:c r="Q80" s="194">
        <x:f>'26 Detail'!M208</x:f>
        <x:v>0</x:v>
      </x:c>
      <x:c r="R80" s="194"/>
      <x:c r="S80" s="194"/>
    </x:row>
    <x:row r="81" spans="2:17" ht="16.5" hidden="1" outlineLevel="1">
      <x:c r="C81" s="213" t="s">
        <x:v>142</x:v>
      </x:c>
      <x:c r="D81" s="191">
        <x:f t="shared" si="23"/>
        <x:v>0</x:v>
      </x:c>
      <x:c r="F81" s="194">
        <x:f>'26 Detail'!B209</x:f>
        <x:v>0</x:v>
      </x:c>
      <x:c r="G81" s="194">
        <x:f>'26 Detail'!C209</x:f>
        <x:v>0</x:v>
      </x:c>
      <x:c r="H81" s="194">
        <x:f>'26 Detail'!D209</x:f>
        <x:v>0</x:v>
      </x:c>
      <x:c r="I81" s="194">
        <x:f>'26 Detail'!E209</x:f>
        <x:v>0</x:v>
      </x:c>
      <x:c r="J81" s="194">
        <x:f>'26 Detail'!F209</x:f>
        <x:v>0</x:v>
      </x:c>
      <x:c r="K81" s="194">
        <x:f>'26 Detail'!G209</x:f>
        <x:v>0</x:v>
      </x:c>
      <x:c r="L81" s="194">
        <x:f>'26 Detail'!H209</x:f>
        <x:v>0</x:v>
      </x:c>
      <x:c r="M81" s="194">
        <x:f>'26 Detail'!I209</x:f>
        <x:v>0</x:v>
      </x:c>
      <x:c r="N81" s="194">
        <x:f>'26 Detail'!J209</x:f>
        <x:v>0</x:v>
      </x:c>
      <x:c r="O81" s="194">
        <x:f>'26 Detail'!K209</x:f>
        <x:v>0</x:v>
      </x:c>
      <x:c r="P81" s="194">
        <x:f>'26 Detail'!L209</x:f>
        <x:v>0</x:v>
      </x:c>
      <x:c r="Q81" s="194">
        <x:f>'26 Detail'!M209</x:f>
        <x:v>0</x:v>
      </x:c>
    </x:row>
    <x:row r="82" spans="2:17" ht="16.5" hidden="1" outlineLevel="1">
      <x:c r="C82" s="213" t="s">
        <x:v>143</x:v>
      </x:c>
      <x:c r="D82" s="191">
        <x:f>SUM(F82:K82)</x:f>
        <x:v>0</x:v>
      </x:c>
      <x:c r="F82" s="194">
        <x:f>'26 Detail'!B210</x:f>
        <x:v>0</x:v>
      </x:c>
      <x:c r="G82" s="194">
        <x:f>'26 Detail'!C210</x:f>
        <x:v>0</x:v>
      </x:c>
      <x:c r="H82" s="194">
        <x:f>'26 Detail'!D210</x:f>
        <x:v>0</x:v>
      </x:c>
      <x:c r="I82" s="194">
        <x:f>'26 Detail'!E210</x:f>
        <x:v>0</x:v>
      </x:c>
      <x:c r="J82" s="194">
        <x:f>'26 Detail'!F210</x:f>
        <x:v>0</x:v>
      </x:c>
      <x:c r="K82" s="194">
        <x:f>'26 Detail'!G210</x:f>
        <x:v>0</x:v>
      </x:c>
      <x:c r="L82" s="194">
        <x:f>'26 Detail'!H210</x:f>
        <x:v>0</x:v>
      </x:c>
      <x:c r="M82" s="194">
        <x:f>'26 Detail'!I210</x:f>
        <x:v>0</x:v>
      </x:c>
      <x:c r="N82" s="194">
        <x:f>'26 Detail'!J210</x:f>
        <x:v>0</x:v>
      </x:c>
      <x:c r="O82" s="194">
        <x:f>'26 Detail'!K210</x:f>
        <x:v>0</x:v>
      </x:c>
      <x:c r="P82" s="194">
        <x:f>'26 Detail'!L210</x:f>
        <x:v>0</x:v>
      </x:c>
      <x:c r="Q82" s="194">
        <x:f>'26 Detail'!M210</x:f>
        <x:v>0</x:v>
      </x:c>
    </x:row>
    <x:row r="83" spans="2:17" ht="16.5" hidden="1" outlineLevel="1">
      <x:c r="C83" s="213" t="s">
        <x:v>958</x:v>
      </x:c>
      <x:c r="D83" s="191">
        <x:f t="shared" si="23"/>
        <x:v>0</x:v>
      </x:c>
      <x:c r="F83" s="194">
        <x:f>'26 Detail'!B211</x:f>
        <x:v>0</x:v>
      </x:c>
      <x:c r="G83" s="194">
        <x:f>'26 Detail'!C211</x:f>
        <x:v>0</x:v>
      </x:c>
      <x:c r="H83" s="194">
        <x:f>'26 Detail'!D211</x:f>
        <x:v>0</x:v>
      </x:c>
      <x:c r="I83" s="194">
        <x:f>'26 Detail'!E211</x:f>
        <x:v>0</x:v>
      </x:c>
      <x:c r="J83" s="194">
        <x:f>'26 Detail'!F211</x:f>
        <x:v>0</x:v>
      </x:c>
      <x:c r="K83" s="194">
        <x:f>'26 Detail'!G211</x:f>
        <x:v>0</x:v>
      </x:c>
      <x:c r="L83" s="194">
        <x:f>'26 Detail'!H211</x:f>
        <x:v>0</x:v>
      </x:c>
      <x:c r="M83" s="194">
        <x:f>'26 Detail'!I211</x:f>
        <x:v>0</x:v>
      </x:c>
      <x:c r="N83" s="194">
        <x:f>'26 Detail'!J211</x:f>
        <x:v>0</x:v>
      </x:c>
      <x:c r="O83" s="194">
        <x:f>'26 Detail'!K211</x:f>
        <x:v>0</x:v>
      </x:c>
      <x:c r="P83" s="194">
        <x:f>'26 Detail'!L211</x:f>
        <x:v>0</x:v>
      </x:c>
      <x:c r="Q83" s="194">
        <x:f>'26 Detail'!M211</x:f>
        <x:v>0</x:v>
      </x:c>
    </x:row>
    <x:row r="84" spans="2:17" ht="16.5" hidden="1" outlineLevel="1">
      <x:c r="B84" s="201" t="s">
        <x:v>959</x:v>
      </x:c>
      <x:c r="C84" s="201" t="s">
        <x:v>1169</x:v>
      </x:c>
      <x:c r="D84" s="202">
        <x:f t="shared" si="23"/>
        <x:v>59299038.234315336</x:v>
      </x:c>
      <x:c r="E84" s="202"/>
      <x:c r="F84" s="202">
        <x:f>SUM(F85:F97)</x:f>
        <x:v>1870621.3547638224</x:v>
      </x:c>
      <x:c r="G84" s="202">
        <x:f t="shared" ref="G84:Q84" si="24">SUM(G85:G97)</x:f>
        <x:v>2334448.1851807195</x:v>
      </x:c>
      <x:c r="H84" s="202">
        <x:f t="shared" si="24"/>
        <x:v>8362922.7619689088</x:v>
      </x:c>
      <x:c r="I84" s="202">
        <x:f t="shared" si="24"/>
        <x:v>2771953.9753636261</x:v>
      </x:c>
      <x:c r="J84" s="202">
        <x:f t="shared" si="24"/>
        <x:v>2536494.5350794457</x:v>
      </x:c>
      <x:c r="K84" s="202">
        <x:f t="shared" si="24"/>
        <x:v>8934823.3252488151</x:v>
      </x:c>
      <x:c r="L84" s="202">
        <x:f>SUM(L85:L97)</x:f>
        <x:v>2365903.7778630261</x:v>
      </x:c>
      <x:c r="M84" s="202">
        <x:f t="shared" si="24"/>
        <x:v>3522702.9760443275</x:v>
      </x:c>
      <x:c r="N84" s="202">
        <x:f t="shared" si="24"/>
        <x:v>7381012.8274591025</x:v>
      </x:c>
      <x:c r="O84" s="202">
        <x:f>SUM(O85:O97)</x:f>
        <x:v>8607770.1331453566</x:v>
      </x:c>
      <x:c r="P84" s="202">
        <x:f t="shared" si="24"/>
        <x:v>3311753.6994968308</x:v>
      </x:c>
      <x:c r="Q84" s="202">
        <x:f t="shared" si="24"/>
        <x:v>7298630.6827013548</x:v>
      </x:c>
    </x:row>
    <x:row r="85" spans="2:17" ht="16.5" hidden="1" outlineLevel="1">
      <x:c r="C85" s="213" t="s">
        <x:v>960</x:v>
      </x:c>
      <x:c r="D85" s="191">
        <x:f>SUM(F85:Q85)</x:f>
        <x:v>3934500</x:v>
      </x:c>
      <x:c r="F85" s="194">
        <x:f>'26 Detail'!B215</x:f>
        <x:v>0</x:v>
      </x:c>
      <x:c r="G85" s="194">
        <x:f>'26 Detail'!C215</x:f>
        <x:v>0</x:v>
      </x:c>
      <x:c r="H85" s="194">
        <x:f>'26 Detail'!D215</x:f>
        <x:v>0</x:v>
      </x:c>
      <x:c r="I85" s="194">
        <x:f>'26 Detail'!E215</x:f>
        <x:v>0</x:v>
      </x:c>
      <x:c r="J85" s="194">
        <x:f>'26 Detail'!F215</x:f>
        <x:v>0</x:v>
      </x:c>
      <x:c r="K85" s="194">
        <x:f>'26 Detail'!G215</x:f>
        <x:v>0</x:v>
      </x:c>
      <x:c r="L85" s="194">
        <x:f>'26 Detail'!H215</x:f>
        <x:v>0</x:v>
      </x:c>
      <x:c r="M85" s="194">
        <x:f>'26 Detail'!I215</x:f>
        <x:v>0</x:v>
      </x:c>
      <x:c r="N85" s="194">
        <x:f>'26 Detail'!J215</x:f>
        <x:v>0</x:v>
      </x:c>
      <x:c r="O85" s="194">
        <x:f>'26 Detail'!K215</x:f>
        <x:v>3934500</x:v>
      </x:c>
      <x:c r="P85" s="194">
        <x:f>'26 Detail'!L215</x:f>
        <x:v>0</x:v>
      </x:c>
      <x:c r="Q85" s="194">
        <x:f>'26 Detail'!M215</x:f>
        <x:v>0</x:v>
      </x:c>
    </x:row>
    <x:row r="86" spans="2:17" ht="16.5" hidden="1" outlineLevel="1">
      <x:c r="C86" s="213" t="s">
        <x:v>147</x:v>
      </x:c>
      <x:c r="D86" s="191">
        <x:f t="shared" ref="D86:D98" si="25">SUM(F86:Q86)</x:f>
        <x:v>0</x:v>
      </x:c>
      <x:c r="F86" s="194">
        <x:f>'26 Detail'!B216</x:f>
        <x:v>0</x:v>
      </x:c>
      <x:c r="G86" s="194">
        <x:f>'26 Detail'!C216</x:f>
        <x:v>0</x:v>
      </x:c>
      <x:c r="H86" s="194">
        <x:f>'26 Detail'!D216</x:f>
        <x:v>0</x:v>
      </x:c>
      <x:c r="I86" s="194">
        <x:f>'26 Detail'!E216</x:f>
        <x:v>0</x:v>
      </x:c>
      <x:c r="J86" s="194">
        <x:f>'26 Detail'!F216</x:f>
        <x:v>0</x:v>
      </x:c>
      <x:c r="K86" s="194">
        <x:f>'26 Detail'!G216</x:f>
        <x:v>0</x:v>
      </x:c>
      <x:c r="L86" s="194">
        <x:f>'26 Detail'!H216</x:f>
        <x:v>0</x:v>
      </x:c>
      <x:c r="M86" s="194">
        <x:f>'26 Detail'!I216</x:f>
        <x:v>0</x:v>
      </x:c>
      <x:c r="N86" s="194">
        <x:f>'26 Detail'!J216</x:f>
        <x:v>0</x:v>
      </x:c>
      <x:c r="O86" s="194">
        <x:f>'26 Detail'!K216</x:f>
        <x:v>0</x:v>
      </x:c>
      <x:c r="P86" s="194">
        <x:f>'26 Detail'!L216</x:f>
        <x:v>0</x:v>
      </x:c>
      <x:c r="Q86" s="194">
        <x:f>'26 Detail'!M216</x:f>
        <x:v>0</x:v>
      </x:c>
    </x:row>
    <x:row r="87" spans="2:17" ht="16.5" hidden="1" outlineLevel="1">
      <x:c r="C87" s="213" t="s">
        <x:v>148</x:v>
      </x:c>
      <x:c r="D87" s="191">
        <x:f t="shared" si="25"/>
        <x:v>0</x:v>
      </x:c>
      <x:c r="F87" s="194">
        <x:f>'26 Detail'!B217</x:f>
        <x:v>0</x:v>
      </x:c>
      <x:c r="G87" s="194">
        <x:f>'26 Detail'!C217</x:f>
        <x:v>0</x:v>
      </x:c>
      <x:c r="H87" s="194">
        <x:f>'26 Detail'!D217</x:f>
        <x:v>0</x:v>
      </x:c>
      <x:c r="I87" s="194">
        <x:f>'26 Detail'!E217</x:f>
        <x:v>0</x:v>
      </x:c>
      <x:c r="J87" s="194">
        <x:f>'26 Detail'!F217</x:f>
        <x:v>0</x:v>
      </x:c>
      <x:c r="K87" s="194">
        <x:f>'26 Detail'!G217</x:f>
        <x:v>0</x:v>
      </x:c>
      <x:c r="L87" s="194">
        <x:f>'26 Detail'!H217</x:f>
        <x:v>0</x:v>
      </x:c>
      <x:c r="M87" s="194">
        <x:f>'26 Detail'!I217</x:f>
        <x:v>0</x:v>
      </x:c>
      <x:c r="N87" s="194">
        <x:f>'26 Detail'!J217</x:f>
        <x:v>0</x:v>
      </x:c>
      <x:c r="O87" s="194">
        <x:f>'26 Detail'!K217</x:f>
        <x:v>0</x:v>
      </x:c>
      <x:c r="P87" s="194">
        <x:f>'26 Detail'!L217</x:f>
        <x:v>0</x:v>
      </x:c>
      <x:c r="Q87" s="194">
        <x:f>'26 Detail'!M217</x:f>
        <x:v>0</x:v>
      </x:c>
    </x:row>
    <x:row r="88" spans="2:17" ht="16.5" hidden="1" outlineLevel="1">
      <x:c r="C88" s="221" t="s">
        <x:v>149</x:v>
      </x:c>
      <x:c r="D88" s="191">
        <x:f t="shared" si="25"/>
        <x:v>0</x:v>
      </x:c>
      <x:c r="F88" s="194">
        <x:f>'26 Detail'!B218</x:f>
        <x:v>0</x:v>
      </x:c>
      <x:c r="G88" s="194">
        <x:f>'26 Detail'!C218</x:f>
        <x:v>0</x:v>
      </x:c>
      <x:c r="H88" s="194">
        <x:f>'26 Detail'!D218</x:f>
        <x:v>0</x:v>
      </x:c>
      <x:c r="I88" s="194">
        <x:f>'26 Detail'!E218</x:f>
        <x:v>0</x:v>
      </x:c>
      <x:c r="J88" s="194">
        <x:f>'26 Detail'!F218</x:f>
        <x:v>0</x:v>
      </x:c>
      <x:c r="K88" s="194">
        <x:f>'26 Detail'!G218</x:f>
        <x:v>0</x:v>
      </x:c>
      <x:c r="L88" s="194">
        <x:f>'26 Detail'!H218</x:f>
        <x:v>0</x:v>
      </x:c>
      <x:c r="M88" s="194">
        <x:f>'26 Detail'!I218</x:f>
        <x:v>0</x:v>
      </x:c>
      <x:c r="N88" s="194">
        <x:f>'26 Detail'!J218</x:f>
        <x:v>0</x:v>
      </x:c>
      <x:c r="O88" s="194">
        <x:f>'26 Detail'!K218</x:f>
        <x:v>0</x:v>
      </x:c>
      <x:c r="P88" s="194">
        <x:f>'26 Detail'!L218</x:f>
        <x:v>0</x:v>
      </x:c>
      <x:c r="Q88" s="194">
        <x:f>'26 Detail'!M218</x:f>
        <x:v>0</x:v>
      </x:c>
    </x:row>
    <x:row r="89" spans="2:17" ht="16.5" hidden="1" outlineLevel="1">
      <x:c r="C89" s="221" t="s">
        <x:v>150</x:v>
      </x:c>
      <x:c r="D89" s="191">
        <x:f t="shared" si="25"/>
        <x:v>0</x:v>
      </x:c>
      <x:c r="F89" s="194">
        <x:f>'26 Detail'!B219</x:f>
        <x:v>0</x:v>
      </x:c>
      <x:c r="G89" s="194">
        <x:f>'26 Detail'!C219</x:f>
        <x:v>0</x:v>
      </x:c>
      <x:c r="H89" s="194">
        <x:f>'26 Detail'!D219</x:f>
        <x:v>0</x:v>
      </x:c>
      <x:c r="I89" s="194">
        <x:f>'26 Detail'!E219</x:f>
        <x:v>0</x:v>
      </x:c>
      <x:c r="J89" s="194">
        <x:f>'26 Detail'!F219</x:f>
        <x:v>0</x:v>
      </x:c>
      <x:c r="K89" s="194">
        <x:f>'26 Detail'!G219</x:f>
        <x:v>0</x:v>
      </x:c>
      <x:c r="L89" s="194">
        <x:f>'26 Detail'!H219</x:f>
        <x:v>0</x:v>
      </x:c>
      <x:c r="M89" s="194">
        <x:f>'26 Detail'!I219</x:f>
        <x:v>0</x:v>
      </x:c>
      <x:c r="N89" s="194">
        <x:f>'26 Detail'!J219</x:f>
        <x:v>0</x:v>
      </x:c>
      <x:c r="O89" s="194">
        <x:f>'26 Detail'!K219</x:f>
        <x:v>0</x:v>
      </x:c>
      <x:c r="P89" s="194">
        <x:f>'26 Detail'!L219</x:f>
        <x:v>0</x:v>
      </x:c>
      <x:c r="Q89" s="194">
        <x:f>'26 Detail'!M219</x:f>
        <x:v>0</x:v>
      </x:c>
    </x:row>
    <x:row r="90" spans="2:17" ht="15" hidden="1" outlineLevel="1">
      <x:c r="C90" s="222" t="s">
        <x:v>151</x:v>
      </x:c>
      <x:c r="D90" s="191">
        <x:f t="shared" si="25"/>
        <x:v>37124538.234315343</x:v>
      </x:c>
      <x:c r="F90" s="194">
        <x:f>'26 Detail'!B220</x:f>
        <x:v>1870621.3547638224</x:v>
      </x:c>
      <x:c r="G90" s="194">
        <x:f>'26 Detail'!C220</x:f>
        <x:v>2334448.1851807195</x:v>
      </x:c>
      <x:c r="H90" s="194">
        <x:f>'26 Detail'!D220</x:f>
        <x:v>3322922.7619689102</x:v>
      </x:c>
      <x:c r="I90" s="194">
        <x:f>'26 Detail'!E220</x:f>
        <x:v>2771953.9753636261</x:v>
      </x:c>
      <x:c r="J90" s="194">
        <x:f>'26 Detail'!F220</x:f>
        <x:v>2536494.5350794457</x:v>
      </x:c>
      <x:c r="K90" s="194">
        <x:f>'26 Detail'!G220</x:f>
        <x:v>3864823.3252488216</x:v>
      </x:c>
      <x:c r="L90" s="194">
        <x:f>'26 Detail'!H220</x:f>
        <x:v>2365903.7778630261</x:v>
      </x:c>
      <x:c r="M90" s="194">
        <x:f>'26 Detail'!I220</x:f>
        <x:v>3522702.9760443275</x:v>
      </x:c>
      <x:c r="N90" s="194">
        <x:f>'26 Detail'!J220</x:f>
        <x:v>3181012.8274591067</x:v>
      </x:c>
      <x:c r="O90" s="194">
        <x:f>'26 Detail'!K220</x:f>
        <x:v>4673270.1331453566</x:v>
      </x:c>
      <x:c r="P90" s="194">
        <x:f>'26 Detail'!L220</x:f>
        <x:v>3311753.6994968308</x:v>
      </x:c>
      <x:c r="Q90" s="194">
        <x:f>'26 Detail'!M220</x:f>
        <x:v>3368630.6827013474</x:v>
      </x:c>
    </x:row>
    <x:row r="91" spans="2:17" ht="15" hidden="1" outlineLevel="1">
      <x:c r="C91" s="222" t="s">
        <x:v>152</x:v>
      </x:c>
      <x:c r="D91" s="191">
        <x:f t="shared" si="25"/>
        <x:v>18239999.999999996</x:v>
      </x:c>
      <x:c r="F91" s="194">
        <x:f>'26 Detail'!B221</x:f>
        <x:v>0</x:v>
      </x:c>
      <x:c r="G91" s="194">
        <x:f>'26 Detail'!C221</x:f>
        <x:v>0</x:v>
      </x:c>
      <x:c r="H91" s="194">
        <x:f>'26 Detail'!D221</x:f>
        <x:v>5039999.9999999991</x:v>
      </x:c>
      <x:c r="I91" s="194">
        <x:f>'26 Detail'!E221</x:f>
        <x:v>0</x:v>
      </x:c>
      <x:c r="J91" s="194">
        <x:f>'26 Detail'!F221</x:f>
        <x:v>0</x:v>
      </x:c>
      <x:c r="K91" s="194">
        <x:f>'26 Detail'!G221</x:f>
        <x:v>5069999.9999999935</x:v>
      </x:c>
      <x:c r="L91" s="194">
        <x:f>'26 Detail'!H221</x:f>
        <x:v>0</x:v>
      </x:c>
      <x:c r="M91" s="194">
        <x:f>'26 Detail'!I221</x:f>
        <x:v>0</x:v>
      </x:c>
      <x:c r="N91" s="194">
        <x:f>'26 Detail'!J221</x:f>
        <x:v>4199999.9999999953</x:v>
      </x:c>
      <x:c r="O91" s="194">
        <x:f>'26 Detail'!K221</x:f>
        <x:v>0</x:v>
      </x:c>
      <x:c r="P91" s="194">
        <x:f>'26 Detail'!L221</x:f>
        <x:v>0</x:v>
      </x:c>
      <x:c r="Q91" s="194">
        <x:f>'26 Detail'!M221</x:f>
        <x:v>3930000.000000007</x:v>
      </x:c>
    </x:row>
    <x:row r="92" spans="2:17" ht="16.5" hidden="1" outlineLevel="1">
      <x:c r="C92" s="221" t="s">
        <x:v>961</x:v>
      </x:c>
      <x:c r="D92" s="191">
        <x:f t="shared" si="25"/>
        <x:v>0</x:v>
      </x:c>
      <x:c r="F92" s="194">
        <x:f>'26 Detail'!B222</x:f>
        <x:v>0</x:v>
      </x:c>
      <x:c r="G92" s="194">
        <x:f>'26 Detail'!C222</x:f>
        <x:v>0</x:v>
      </x:c>
      <x:c r="H92" s="194">
        <x:f>'26 Detail'!D222</x:f>
        <x:v>0</x:v>
      </x:c>
      <x:c r="I92" s="194">
        <x:f>'26 Detail'!E222</x:f>
        <x:v>0</x:v>
      </x:c>
      <x:c r="J92" s="194">
        <x:f>'26 Detail'!F222</x:f>
        <x:v>0</x:v>
      </x:c>
      <x:c r="K92" s="194">
        <x:f>'26 Detail'!G222</x:f>
        <x:v>0</x:v>
      </x:c>
      <x:c r="L92" s="194">
        <x:f>'26 Detail'!H222</x:f>
        <x:v>0</x:v>
      </x:c>
      <x:c r="M92" s="194">
        <x:f>'26 Detail'!I222</x:f>
        <x:v>0</x:v>
      </x:c>
      <x:c r="N92" s="194">
        <x:f>'26 Detail'!J222</x:f>
        <x:v>0</x:v>
      </x:c>
      <x:c r="O92" s="194">
        <x:f>'26 Detail'!K222</x:f>
        <x:v>0</x:v>
      </x:c>
      <x:c r="P92" s="194">
        <x:f>'26 Detail'!L222</x:f>
        <x:v>0</x:v>
      </x:c>
      <x:c r="Q92" s="194">
        <x:f>'26 Detail'!M222</x:f>
        <x:v>0</x:v>
      </x:c>
    </x:row>
    <x:row r="93" spans="2:17" ht="16.5" hidden="1" outlineLevel="1">
      <x:c r="C93" s="213" t="s">
        <x:v>1173</x:v>
      </x:c>
      <x:c r="D93" s="191">
        <x:f>SUM(F93:K93)</x:f>
        <x:v>0</x:v>
      </x:c>
      <x:c r="F93" s="194">
        <x:f>'26 Detail'!B223</x:f>
        <x:v>0</x:v>
      </x:c>
      <x:c r="G93" s="194">
        <x:f>'26 Detail'!C223</x:f>
        <x:v>0</x:v>
      </x:c>
      <x:c r="H93" s="194">
        <x:f>'26 Detail'!D223</x:f>
        <x:v>0</x:v>
      </x:c>
      <x:c r="I93" s="194">
        <x:f>'26 Detail'!E223</x:f>
        <x:v>0</x:v>
      </x:c>
      <x:c r="J93" s="194">
        <x:f>'26 Detail'!F223</x:f>
        <x:v>0</x:v>
      </x:c>
      <x:c r="K93" s="194">
        <x:f>'26 Detail'!G223</x:f>
        <x:v>0</x:v>
      </x:c>
      <x:c r="L93" s="194">
        <x:f>'26 Detail'!H223</x:f>
        <x:v>0</x:v>
      </x:c>
      <x:c r="M93" s="194">
        <x:f>'26 Detail'!I223</x:f>
        <x:v>0</x:v>
      </x:c>
      <x:c r="N93" s="194">
        <x:f>'26 Detail'!J223</x:f>
        <x:v>0</x:v>
      </x:c>
      <x:c r="O93" s="194">
        <x:f>'26 Detail'!K223</x:f>
        <x:v>0</x:v>
      </x:c>
      <x:c r="P93" s="194">
        <x:f>'26 Detail'!L223</x:f>
        <x:v>0</x:v>
      </x:c>
      <x:c r="Q93" s="194">
        <x:f>'26 Detail'!M223</x:f>
        <x:v>0</x:v>
      </x:c>
    </x:row>
    <x:row r="94" spans="2:17" ht="16.5" hidden="1" outlineLevel="1">
      <x:c r="C94" s="213" t="s">
        <x:v>154</x:v>
      </x:c>
      <x:c r="D94" s="191">
        <x:f t="shared" si="25"/>
        <x:v>0</x:v>
      </x:c>
      <x:c r="F94" s="194">
        <x:f>'26 Detail'!B223</x:f>
        <x:v>0</x:v>
      </x:c>
      <x:c r="G94" s="194">
        <x:f>'26 Detail'!C223</x:f>
        <x:v>0</x:v>
      </x:c>
      <x:c r="H94" s="194">
        <x:f>'26 Detail'!D223</x:f>
        <x:v>0</x:v>
      </x:c>
      <x:c r="I94" s="194">
        <x:f>'26 Detail'!E223</x:f>
        <x:v>0</x:v>
      </x:c>
      <x:c r="J94" s="194">
        <x:f>'26 Detail'!F223</x:f>
        <x:v>0</x:v>
      </x:c>
      <x:c r="K94" s="194">
        <x:f>'26 Detail'!G223</x:f>
        <x:v>0</x:v>
      </x:c>
      <x:c r="L94" s="194">
        <x:f>'26 Detail'!H223</x:f>
        <x:v>0</x:v>
      </x:c>
      <x:c r="M94" s="194">
        <x:f>'26 Detail'!I223</x:f>
        <x:v>0</x:v>
      </x:c>
      <x:c r="N94" s="194">
        <x:f>'26 Detail'!J223</x:f>
        <x:v>0</x:v>
      </x:c>
      <x:c r="O94" s="194">
        <x:f>'26 Detail'!K223</x:f>
        <x:v>0</x:v>
      </x:c>
      <x:c r="P94" s="194">
        <x:f>'26 Detail'!L223</x:f>
        <x:v>0</x:v>
      </x:c>
      <x:c r="Q94" s="194">
        <x:f>'26 Detail'!M223</x:f>
        <x:v>0</x:v>
      </x:c>
    </x:row>
    <x:row r="95" spans="2:17" ht="16.5" hidden="1" outlineLevel="1">
      <x:c r="C95" s="213" t="s">
        <x:v>155</x:v>
      </x:c>
      <x:c r="D95" s="191">
        <x:f>SUM(F95:Q95)</x:f>
        <x:v>0</x:v>
      </x:c>
      <x:c r="F95" s="194">
        <x:f>'26 Detail'!B224</x:f>
        <x:v>0</x:v>
      </x:c>
      <x:c r="G95" s="194">
        <x:f>'26 Detail'!C224</x:f>
        <x:v>0</x:v>
      </x:c>
      <x:c r="H95" s="194">
        <x:f>'26 Detail'!D224</x:f>
        <x:v>0</x:v>
      </x:c>
      <x:c r="I95" s="194">
        <x:f>'26 Detail'!E224</x:f>
        <x:v>0</x:v>
      </x:c>
      <x:c r="J95" s="194">
        <x:f>'26 Detail'!F224</x:f>
        <x:v>0</x:v>
      </x:c>
      <x:c r="K95" s="194">
        <x:f>'26 Detail'!G224</x:f>
        <x:v>0</x:v>
      </x:c>
      <x:c r="L95" s="194">
        <x:f>'26 Detail'!H224</x:f>
        <x:v>0</x:v>
      </x:c>
      <x:c r="M95" s="194">
        <x:f>'26 Detail'!I224</x:f>
        <x:v>0</x:v>
      </x:c>
      <x:c r="N95" s="194">
        <x:f>'26 Detail'!J224</x:f>
        <x:v>0</x:v>
      </x:c>
      <x:c r="O95" s="194">
        <x:f>'26 Detail'!K224</x:f>
        <x:v>0</x:v>
      </x:c>
      <x:c r="P95" s="194">
        <x:f>'26 Detail'!L224</x:f>
        <x:v>0</x:v>
      </x:c>
      <x:c r="Q95" s="194">
        <x:f>'26 Detail'!M224</x:f>
        <x:v>0</x:v>
      </x:c>
    </x:row>
    <x:row r="96" spans="2:17" ht="16.5" hidden="1" outlineLevel="1">
      <x:c r="C96" s="213" t="s">
        <x:v>962</x:v>
      </x:c>
      <x:c r="D96" s="191">
        <x:f>SUM(F96:Q96)</x:f>
        <x:v>0</x:v>
      </x:c>
      <x:c r="F96" s="194">
        <x:f>'26 Detail'!B225</x:f>
        <x:v>0</x:v>
      </x:c>
      <x:c r="G96" s="194">
        <x:f>'26 Detail'!C225</x:f>
        <x:v>0</x:v>
      </x:c>
      <x:c r="H96" s="194">
        <x:f>'26 Detail'!D225</x:f>
        <x:v>0</x:v>
      </x:c>
      <x:c r="I96" s="194">
        <x:f>'26 Detail'!E225</x:f>
        <x:v>0</x:v>
      </x:c>
      <x:c r="J96" s="194">
        <x:f>'26 Detail'!F225</x:f>
        <x:v>0</x:v>
      </x:c>
      <x:c r="K96" s="194">
        <x:f>'26 Detail'!G225</x:f>
        <x:v>0</x:v>
      </x:c>
      <x:c r="L96" s="194">
        <x:f>'26 Detail'!H225</x:f>
        <x:v>0</x:v>
      </x:c>
      <x:c r="M96" s="194">
        <x:f>'26 Detail'!I225</x:f>
        <x:v>0</x:v>
      </x:c>
      <x:c r="N96" s="194">
        <x:f>'26 Detail'!J225</x:f>
        <x:v>0</x:v>
      </x:c>
      <x:c r="O96" s="194">
        <x:f>'26 Detail'!K225</x:f>
        <x:v>0</x:v>
      </x:c>
      <x:c r="P96" s="194">
        <x:f>'26 Detail'!L225</x:f>
        <x:v>0</x:v>
      </x:c>
      <x:c r="Q96" s="194">
        <x:f>'26 Detail'!M225</x:f>
        <x:v>0</x:v>
      </x:c>
    </x:row>
    <x:row r="97" spans="2:17" ht="16.5" hidden="1" outlineLevel="1">
      <x:c r="C97" s="213" t="s">
        <x:v>156</x:v>
      </x:c>
      <x:c r="D97" s="191">
        <x:f t="shared" si="25"/>
        <x:v>0</x:v>
      </x:c>
      <x:c r="F97" s="194">
        <x:f>'26 Detail'!B226</x:f>
        <x:v>0</x:v>
      </x:c>
      <x:c r="G97" s="194">
        <x:f>'26 Detail'!C226</x:f>
        <x:v>0</x:v>
      </x:c>
      <x:c r="H97" s="194">
        <x:f>'26 Detail'!D226</x:f>
        <x:v>0</x:v>
      </x:c>
      <x:c r="I97" s="194">
        <x:f>'26 Detail'!E226</x:f>
        <x:v>0</x:v>
      </x:c>
      <x:c r="J97" s="194">
        <x:f>'26 Detail'!F226</x:f>
        <x:v>0</x:v>
      </x:c>
      <x:c r="K97" s="194">
        <x:f>'26 Detail'!G226</x:f>
        <x:v>0</x:v>
      </x:c>
      <x:c r="L97" s="194">
        <x:f>'26 Detail'!H226</x:f>
        <x:v>0</x:v>
      </x:c>
      <x:c r="M97" s="194">
        <x:f>'26 Detail'!I226</x:f>
        <x:v>0</x:v>
      </x:c>
      <x:c r="N97" s="194">
        <x:f>'26 Detail'!J226</x:f>
        <x:v>0</x:v>
      </x:c>
      <x:c r="O97" s="194">
        <x:f>'26 Detail'!K226</x:f>
        <x:v>0</x:v>
      </x:c>
      <x:c r="P97" s="194">
        <x:f>'26 Detail'!L226</x:f>
        <x:v>0</x:v>
      </x:c>
      <x:c r="Q97" s="194">
        <x:f>'26 Detail'!M226</x:f>
        <x:v>0</x:v>
      </x:c>
    </x:row>
    <x:row r="98" spans="2:17" ht="16.5" hidden="1" outlineLevel="1">
      <x:c r="B98" s="201" t="s">
        <x:v>963</x:v>
      </x:c>
      <x:c r="C98" s="201" t="s">
        <x:v>964</x:v>
      </x:c>
      <x:c r="D98" s="202">
        <x:f t="shared" si="25"/>
        <x:v>162636803.25711104</x:v>
      </x:c>
      <x:c r="E98" s="202"/>
      <x:c r="F98" s="202">
        <x:f>+F70+F72-F84</x:f>
        <x:v>10096132.718002658</x:v>
      </x:c>
      <x:c r="G98" s="202">
        <x:f t="shared" ref="G98:Q98" si="26">+G70+G72-G84</x:f>
        <x:v>13265733.246147914</x:v>
      </x:c>
      <x:c r="H98" s="202">
        <x:f t="shared" si="26"/>
        <x:v>17333710.335656561</x:v>
      </x:c>
      <x:c r="I98" s="202">
        <x:f t="shared" si="26"/>
        <x:v>16028750.418048061</x:v>
      </x:c>
      <x:c r="J98" s="202">
        <x:f t="shared" si="26"/>
        <x:v>13846898.031577677</x:v>
      </x:c>
      <x:c r="K98" s="202">
        <x:f t="shared" si="26"/>
        <x:v>19370793.089836407</x:v>
      </x:c>
      <x:c r="L98" s="202">
        <x:f t="shared" si="26"/>
        <x:v>13385964.256152028</x:v>
      </x:c>
      <x:c r="M98" s="202">
        <x:f t="shared" si="26"/>
        <x:v>23098890.512097243</x:v>
      </x:c>
      <x:c r="N98" s="202">
        <x:f t="shared" si="26"/>
        <x:v>15855144.274812674</x:v>
      </x:c>
      <x:c r="O98" s="202">
        <x:f t="shared" si="26"/>
        <x:v>13883291.615746645</x:v>
      </x:c>
      <x:c r="P98" s="202">
        <x:f t="shared" si="26"/>
        <x:v>6069647.9826003322</x:v>
      </x:c>
      <x:c r="Q98" s="202">
        <x:f t="shared" si="26"/>
        <x:v>401846.77643284481</x:v>
      </x:c>
    </x:row>
    <x:row r="99" spans="2:17" ht="16.5" hidden="1" outlineLevel="1">
      <x:c r="B99" s="219" t="s">
        <x:v>965</x:v>
      </x:c>
      <x:c r="C99" s="219" t="s">
        <x:v>966</x:v>
      </x:c>
      <x:c r="D99" s="223">
        <x:f>+IFERROR(D98/D5,)</x:f>
        <x:v>8.7616876056807569E-2</x:v>
      </x:c>
      <x:c r="E99" s="223"/>
      <x:c r="F99" s="223">
        <x:f t="shared" ref="F99:Q99" si="27">+IFERROR(F98/F5,)</x:f>
        <x:v>0.10794416189349404</x:v>
      </x:c>
      <x:c r="G99" s="223">
        <x:f t="shared" si="27"/>
        <x:v>0.11365198277143135</x:v>
      </x:c>
      <x:c r="H99" s="223">
        <x:f t="shared" si="27"/>
        <x:v>0.10432809654224963</x:v>
      </x:c>
      <x:c r="I99" s="223">
        <x:f t="shared" si="27"/>
        <x:v>0.11564947008866122</x:v>
      </x:c>
      <x:c r="J99" s="223">
        <x:f t="shared" si="27"/>
        <x:v>0.10918137484687289</x:v>
      </x:c>
      <x:c r="K99" s="223">
        <x:f t="shared" si="27"/>
        <x:v>0.10024154513499939</x:v>
      </x:c>
      <x:c r="L99" s="223">
        <x:f t="shared" si="27"/>
        <x:v>0.11315730065947768</x:v>
      </x:c>
      <x:c r="M99" s="223">
        <x:f t="shared" si="27"/>
        <x:v>0.13114299257801848</x:v>
      </x:c>
      <x:c r="N99" s="223">
        <x:f t="shared" si="27"/>
        <x:v>9.9686138565352897E-2</x:v>
      </x:c>
      <x:c r="O99" s="223">
        <x:f t="shared" si="27"/>
        <x:v>5.9415746234221897E-2</x:v>
      </x:c>
      <x:c r="P99" s="223">
        <x:f t="shared" si="27"/>
        <x:v>3.6655189566316602E-2</x:v>
      </x:c>
      <x:c r="Q99" s="223">
        <x:f t="shared" si="27"/>
        <x:v>2.3858167563242569E-3</x:v>
      </x:c>
    </x:row>
    <x:row r="100" spans="2:17" collapsed="1"/>
  </x:sheetData>
  <x:phoneticPr fontId="3" type="noConversion"/>
  <x:pageMargins left="0.7" right="0.7" top="0.75" bottom="0.75" header="0.3" footer="0.3"/>
  <x:legacyDrawing r:id="rId1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3BCE9E-87BD-4EE8-B843-DEB4A1C94867}" mc:Ignorable="x14ac xr xr2 xr3">
  <x:sheetPr codeName="Sheet3">
    <x:tabColor rgb="FFFFFF00"/>
  </x:sheetPr>
  <x:dimension ref="A1:R225"/>
  <x:sheetViews>
    <x:sheetView showGridLines="0" zoomScale="70" zoomScaleNormal="70" workbookViewId="0">
      <x:pane ySplit="1" topLeftCell="A2" activePane="bottomLeft" state="frozen"/>
      <x:selection activeCell="E19" sqref="E19"/>
      <x:selection pane="bottomLeft" activeCell="T32" sqref="T32"/>
    </x:sheetView>
  </x:sheetViews>
  <x:sheetFormatPr defaultColWidth="8.75" defaultRowHeight="16.899999999999999" customHeight="1"/>
  <x:cols>
    <x:col min="1" max="1" width="32.625" style="953" customWidth="1"/>
    <x:col min="2" max="13" width="12.625" style="878" customWidth="1"/>
    <x:col min="14" max="14" width="2.25" style="878" customWidth="1"/>
    <x:col min="15" max="15" width="55" style="1015" customWidth="1"/>
    <x:col min="16" max="16" width="21.375" style="1016" customWidth="1"/>
    <x:col min="17" max="17" width="8.75" style="878"/>
    <x:col min="18" max="18" width="15.625" style="878" bestFit="1" customWidth="1"/>
    <x:col min="19" max="16384" width="8.75" style="878"/>
  </x:cols>
  <x:sheetData>
    <x:row r="1" spans="1:18" ht="16.899999999999999" customHeight="1">
      <x:c r="A1" s="1018"/>
      <x:c r="B1" s="952">
        <x:v>1</x:v>
      </x:c>
      <x:c r="C1" s="952">
        <x:v>2</x:v>
      </x:c>
      <x:c r="D1" s="952">
        <x:v>3</x:v>
      </x:c>
      <x:c r="E1" s="952">
        <x:v>4</x:v>
      </x:c>
      <x:c r="F1" s="952">
        <x:v>5</x:v>
      </x:c>
      <x:c r="G1" s="952">
        <x:v>6</x:v>
      </x:c>
      <x:c r="H1" s="952">
        <x:v>7</x:v>
      </x:c>
      <x:c r="I1" s="952">
        <x:v>8</x:v>
      </x:c>
      <x:c r="J1" s="952">
        <x:v>9</x:v>
      </x:c>
      <x:c r="K1" s="952">
        <x:v>10</x:v>
      </x:c>
      <x:c r="L1" s="952">
        <x:v>11</x:v>
      </x:c>
      <x:c r="M1" s="952">
        <x:v>12</x:v>
      </x:c>
      <x:c r="O1" s="953"/>
      <x:c r="P1" s="878"/>
    </x:row>
    <x:row r="2" spans="1:18" s="1021" customFormat="1" ht="16.899999999999999" customHeight="1">
      <x:c r="A2" s="1019" t="s">
        <x:v>27</x:v>
      </x:c>
      <x:c r="B2" s="954"/>
      <x:c r="C2" s="954"/>
      <x:c r="D2" s="954"/>
      <x:c r="E2" s="954"/>
      <x:c r="F2" s="954"/>
      <x:c r="G2" s="954"/>
      <x:c r="H2" s="954"/>
      <x:c r="I2" s="954"/>
      <x:c r="J2" s="954"/>
      <x:c r="K2" s="954"/>
      <x:c r="L2" s="954"/>
      <x:c r="M2" s="954"/>
      <x:c r="N2" s="878"/>
      <x:c r="O2" s="953"/>
      <x:c r="P2" s="878"/>
      <x:c r="Q2" s="878"/>
      <x:c r="R2" s="1020" t="s">
        <x:v>1513</x:v>
      </x:c>
    </x:row>
    <x:row r="3" spans="1:18" ht="16.899999999999999" customHeight="1">
      <x:c r="A3" s="1022" t="s">
        <x:v>28</x:v>
      </x:c>
      <x:c r="B3" s="955">
        <x:f>SUM(B4:B9)</x:f>
        <x:v>95782.778608333349</x:v>
      </x:c>
      <x:c r="C3" s="955">
        <x:f t="shared" ref="C3:M3" si="0">SUM(C4:C9)</x:f>
        <x:v>95782.778608333349</x:v>
      </x:c>
      <x:c r="D3" s="955">
        <x:f t="shared" si="0"/>
        <x:v>95782.778608333349</x:v>
      </x:c>
      <x:c r="E3" s="955">
        <x:f t="shared" si="0"/>
        <x:v>95782.778608333349</x:v>
      </x:c>
      <x:c r="F3" s="955">
        <x:f t="shared" si="0"/>
        <x:v>95782.778608333349</x:v>
      </x:c>
      <x:c r="G3" s="955">
        <x:f t="shared" si="0"/>
        <x:v>95782.778608333349</x:v>
      </x:c>
      <x:c r="H3" s="955">
        <x:f t="shared" si="0"/>
        <x:v>95782.778608333349</x:v>
      </x:c>
      <x:c r="I3" s="955">
        <x:f t="shared" si="0"/>
        <x:v>191565.5572166667</x:v>
      </x:c>
      <x:c r="J3" s="955">
        <x:f t="shared" si="0"/>
        <x:v>191565.5572166667</x:v>
      </x:c>
      <x:c r="K3" s="955">
        <x:f t="shared" si="0"/>
        <x:v>191565.5572166667</x:v>
      </x:c>
      <x:c r="L3" s="955">
        <x:f t="shared" si="0"/>
        <x:v>191565.5572166667</x:v>
      </x:c>
      <x:c r="M3" s="955">
        <x:f t="shared" si="0"/>
        <x:v>191565.5572166667</x:v>
      </x:c>
      <x:c r="O3" s="956"/>
      <x:c r="P3" s="957"/>
      <x:c r="R3" s="964">
        <x:f>+SUM(B3:M3)</x:f>
        <x:v>1628307.2363416667</x:v>
      </x:c>
    </x:row>
    <x:row r="4" spans="1:18" ht="16.899999999999999" customHeight="1">
      <x:c r="A4" s="1023" t="s">
        <x:v>29</x:v>
      </x:c>
      <x:c r="B4" s="958">
        <x:f>'8. Export, Import1'!C6</x:f>
        <x:v>23901.1162</x:v>
      </x:c>
      <x:c r="C4" s="958">
        <x:f>'8. Export, Import1'!D6</x:f>
        <x:v>23901.1162</x:v>
      </x:c>
      <x:c r="D4" s="958">
        <x:f>'8. Export, Import1'!E6</x:f>
        <x:v>23901.1162</x:v>
      </x:c>
      <x:c r="E4" s="958">
        <x:f>'8. Export, Import1'!F6</x:f>
        <x:v>23901.1162</x:v>
      </x:c>
      <x:c r="F4" s="958">
        <x:f>'8. Export, Import1'!G6</x:f>
        <x:v>23901.1162</x:v>
      </x:c>
      <x:c r="G4" s="958">
        <x:f>'8. Export, Import1'!H6</x:f>
        <x:v>23901.1162</x:v>
      </x:c>
      <x:c r="H4" s="958">
        <x:f>'8. Export, Import1'!I6</x:f>
        <x:v>23901.1162</x:v>
      </x:c>
      <x:c r="I4" s="958">
        <x:f>'8. Export, Import1'!J6</x:f>
        <x:v>47802.232400000001</x:v>
      </x:c>
      <x:c r="J4" s="958">
        <x:f>'8. Export, Import1'!K6</x:f>
        <x:v>47802.232400000001</x:v>
      </x:c>
      <x:c r="K4" s="958">
        <x:f>'8. Export, Import1'!L6</x:f>
        <x:v>47802.232400000001</x:v>
      </x:c>
      <x:c r="L4" s="958">
        <x:f>'8. Export, Import1'!M6</x:f>
        <x:v>47802.232400000001</x:v>
      </x:c>
      <x:c r="M4" s="958">
        <x:f>'8. Export, Import1'!N6</x:f>
        <x:v>47802.232400000001</x:v>
      </x:c>
      <x:c r="N4" s="1024"/>
      <x:c r="O4" s="959" t="s">
        <x:v>1158</x:v>
      </x:c>
      <x:c r="P4" s="960" t="s">
        <x:v>1185</x:v>
      </x:c>
      <x:c r="R4" s="1025">
        <x:f>+R3-SUM(B4:M9)</x:f>
        <x:v>0</x:v>
      </x:c>
    </x:row>
    <x:row r="5" spans="1:18" ht="16.899999999999999" customHeight="1">
      <x:c r="A5" s="1023" t="s">
        <x:v>30</x:v>
      </x:c>
      <x:c r="B5" s="958">
        <x:f>'8. Export, Import1'!C7</x:f>
        <x:v>0</x:v>
      </x:c>
      <x:c r="C5" s="958">
        <x:f>'8. Export, Import1'!D7</x:f>
        <x:v>0</x:v>
      </x:c>
      <x:c r="D5" s="958">
        <x:f>'8. Export, Import1'!E7</x:f>
        <x:v>0</x:v>
      </x:c>
      <x:c r="E5" s="958">
        <x:f>'8. Export, Import1'!F7</x:f>
        <x:v>0</x:v>
      </x:c>
      <x:c r="F5" s="958">
        <x:f>'8. Export, Import1'!G7</x:f>
        <x:v>0</x:v>
      </x:c>
      <x:c r="G5" s="958">
        <x:f>'8. Export, Import1'!H7</x:f>
        <x:v>0</x:v>
      </x:c>
      <x:c r="H5" s="958">
        <x:f>'8. Export, Import1'!I7</x:f>
        <x:v>0</x:v>
      </x:c>
      <x:c r="I5" s="958">
        <x:f>'8. Export, Import1'!J7</x:f>
        <x:v>0</x:v>
      </x:c>
      <x:c r="J5" s="958">
        <x:f>'8. Export, Import1'!K7</x:f>
        <x:v>0</x:v>
      </x:c>
      <x:c r="K5" s="958">
        <x:f>'8. Export, Import1'!L7</x:f>
        <x:v>0</x:v>
      </x:c>
      <x:c r="L5" s="958">
        <x:f>'8. Export, Import1'!M7</x:f>
        <x:v>0</x:v>
      </x:c>
      <x:c r="M5" s="958">
        <x:f>'8. Export, Import1'!N7</x:f>
        <x:v>0</x:v>
      </x:c>
      <x:c r="N5" s="1024"/>
      <x:c r="O5" s="959"/>
      <x:c r="P5" s="960"/>
    </x:row>
    <x:row r="6" spans="1:18" ht="16.899999999999999" customHeight="1">
      <x:c r="A6" s="1023" t="s">
        <x:v>31</x:v>
      </x:c>
      <x:c r="B6" s="958">
        <x:f>'8. Export, Import1'!C8</x:f>
        <x:v>8755.6760416666675</x:v>
      </x:c>
      <x:c r="C6" s="958">
        <x:f>'8. Export, Import1'!D8</x:f>
        <x:v>8755.6760416666675</x:v>
      </x:c>
      <x:c r="D6" s="958">
        <x:f>'8. Export, Import1'!E8</x:f>
        <x:v>8755.6760416666675</x:v>
      </x:c>
      <x:c r="E6" s="958">
        <x:f>'8. Export, Import1'!F8</x:f>
        <x:v>8755.6760416666675</x:v>
      </x:c>
      <x:c r="F6" s="958">
        <x:f>'8. Export, Import1'!G8</x:f>
        <x:v>8755.6760416666675</x:v>
      </x:c>
      <x:c r="G6" s="958">
        <x:f>'8. Export, Import1'!H8</x:f>
        <x:v>8755.6760416666675</x:v>
      </x:c>
      <x:c r="H6" s="958">
        <x:f>'8. Export, Import1'!I8</x:f>
        <x:v>8755.6760416666675</x:v>
      </x:c>
      <x:c r="I6" s="958">
        <x:f>'8. Export, Import1'!J8</x:f>
        <x:v>17511.352083333335</x:v>
      </x:c>
      <x:c r="J6" s="958">
        <x:f>'8. Export, Import1'!K8</x:f>
        <x:v>17511.352083333335</x:v>
      </x:c>
      <x:c r="K6" s="958">
        <x:f>'8. Export, Import1'!L8</x:f>
        <x:v>17511.352083333335</x:v>
      </x:c>
      <x:c r="L6" s="958">
        <x:f>'8. Export, Import1'!M8</x:f>
        <x:v>17511.352083333335</x:v>
      </x:c>
      <x:c r="M6" s="958">
        <x:f>'8. Export, Import1'!N8</x:f>
        <x:v>17511.352083333335</x:v>
      </x:c>
      <x:c r="N6" s="1024"/>
      <x:c r="O6" s="959" t="s">
        <x:v>1184</x:v>
      </x:c>
      <x:c r="P6" s="960" t="s">
        <x:v>1185</x:v>
      </x:c>
    </x:row>
    <x:row r="7" spans="1:18" ht="16.899999999999999" customHeight="1">
      <x:c r="A7" s="1023" t="s">
        <x:v>32</x:v>
      </x:c>
      <x:c r="B7" s="958">
        <x:f>'8. Export, Import1'!C9</x:f>
        <x:v>32447.412400000001</x:v>
      </x:c>
      <x:c r="C7" s="958">
        <x:f>'8. Export, Import1'!D9</x:f>
        <x:v>32447.412400000001</x:v>
      </x:c>
      <x:c r="D7" s="958">
        <x:f>'8. Export, Import1'!E9</x:f>
        <x:v>32447.412400000001</x:v>
      </x:c>
      <x:c r="E7" s="958">
        <x:f>'8. Export, Import1'!F9</x:f>
        <x:v>32447.412400000001</x:v>
      </x:c>
      <x:c r="F7" s="958">
        <x:f>'8. Export, Import1'!G9</x:f>
        <x:v>32447.412400000001</x:v>
      </x:c>
      <x:c r="G7" s="958">
        <x:f>'8. Export, Import1'!H9</x:f>
        <x:v>32447.412400000001</x:v>
      </x:c>
      <x:c r="H7" s="958">
        <x:f>'8. Export, Import1'!I9</x:f>
        <x:v>32447.412400000001</x:v>
      </x:c>
      <x:c r="I7" s="958">
        <x:f>'8. Export, Import1'!J9</x:f>
        <x:v>64894.824800000002</x:v>
      </x:c>
      <x:c r="J7" s="958">
        <x:f>'8. Export, Import1'!K9</x:f>
        <x:v>64894.824800000002</x:v>
      </x:c>
      <x:c r="K7" s="958">
        <x:f>'8. Export, Import1'!L9</x:f>
        <x:v>64894.824800000002</x:v>
      </x:c>
      <x:c r="L7" s="958">
        <x:f>'8. Export, Import1'!M9</x:f>
        <x:v>64894.824800000002</x:v>
      </x:c>
      <x:c r="M7" s="958">
        <x:f>'8. Export, Import1'!N9</x:f>
        <x:v>64894.824800000002</x:v>
      </x:c>
      <x:c r="N7" s="1024"/>
      <x:c r="O7" s="959" t="s">
        <x:v>1159</x:v>
      </x:c>
      <x:c r="P7" s="960" t="s">
        <x:v>1185</x:v>
      </x:c>
    </x:row>
    <x:row r="8" spans="1:18" ht="16.899999999999999" customHeight="1">
      <x:c r="A8" s="1023" t="s">
        <x:v>33</x:v>
      </x:c>
      <x:c r="B8" s="958">
        <x:f>'8. Export, Import1'!C10</x:f>
        <x:v>17133.942800000001</x:v>
      </x:c>
      <x:c r="C8" s="958">
        <x:f>'8. Export, Import1'!D10</x:f>
        <x:v>17133.942800000001</x:v>
      </x:c>
      <x:c r="D8" s="958">
        <x:f>'8. Export, Import1'!E10</x:f>
        <x:v>17133.942800000001</x:v>
      </x:c>
      <x:c r="E8" s="958">
        <x:f>'8. Export, Import1'!F10</x:f>
        <x:v>17133.942800000001</x:v>
      </x:c>
      <x:c r="F8" s="958">
        <x:f>'8. Export, Import1'!G10</x:f>
        <x:v>17133.942800000001</x:v>
      </x:c>
      <x:c r="G8" s="958">
        <x:f>'8. Export, Import1'!H10</x:f>
        <x:v>17133.942800000001</x:v>
      </x:c>
      <x:c r="H8" s="958">
        <x:f>'8. Export, Import1'!I10</x:f>
        <x:v>17133.942800000001</x:v>
      </x:c>
      <x:c r="I8" s="958">
        <x:f>'8. Export, Import1'!J10</x:f>
        <x:v>34267.885600000001</x:v>
      </x:c>
      <x:c r="J8" s="958">
        <x:f>'8. Export, Import1'!K10</x:f>
        <x:v>34267.885600000001</x:v>
      </x:c>
      <x:c r="K8" s="958">
        <x:f>'8. Export, Import1'!L10</x:f>
        <x:v>34267.885600000001</x:v>
      </x:c>
      <x:c r="L8" s="958">
        <x:f>'8. Export, Import1'!M10</x:f>
        <x:v>34267.885600000001</x:v>
      </x:c>
      <x:c r="M8" s="958">
        <x:f>'8. Export, Import1'!N10</x:f>
        <x:v>34267.885600000001</x:v>
      </x:c>
      <x:c r="N8" s="1024"/>
      <x:c r="O8" s="959"/>
      <x:c r="P8" s="960" t="s">
        <x:v>1185</x:v>
      </x:c>
    </x:row>
    <x:row r="9" spans="1:18" ht="16.899999999999999" customHeight="1">
      <x:c r="A9" s="1026" t="s">
        <x:v>34</x:v>
      </x:c>
      <x:c r="B9" s="961">
        <x:f>'8. Export, Import1'!C11</x:f>
        <x:v>13544.631166666668</x:v>
      </x:c>
      <x:c r="C9" s="961">
        <x:f>'8. Export, Import1'!D11</x:f>
        <x:v>13544.631166666668</x:v>
      </x:c>
      <x:c r="D9" s="961">
        <x:f>'8. Export, Import1'!E11</x:f>
        <x:v>13544.631166666668</x:v>
      </x:c>
      <x:c r="E9" s="961">
        <x:f>'8. Export, Import1'!F11</x:f>
        <x:v>13544.631166666668</x:v>
      </x:c>
      <x:c r="F9" s="961">
        <x:f>'8. Export, Import1'!G11</x:f>
        <x:v>13544.631166666668</x:v>
      </x:c>
      <x:c r="G9" s="961">
        <x:f>'8. Export, Import1'!H11</x:f>
        <x:v>13544.631166666668</x:v>
      </x:c>
      <x:c r="H9" s="961">
        <x:f>'8. Export, Import1'!I11</x:f>
        <x:v>13544.631166666668</x:v>
      </x:c>
      <x:c r="I9" s="961">
        <x:f>'8. Export, Import1'!J11</x:f>
        <x:v>27089.262333333336</x:v>
      </x:c>
      <x:c r="J9" s="961">
        <x:f>'8. Export, Import1'!K11</x:f>
        <x:v>27089.262333333336</x:v>
      </x:c>
      <x:c r="K9" s="961">
        <x:f>'8. Export, Import1'!L11</x:f>
        <x:v>27089.262333333336</x:v>
      </x:c>
      <x:c r="L9" s="961">
        <x:f>'8. Export, Import1'!M11</x:f>
        <x:v>27089.262333333336</x:v>
      </x:c>
      <x:c r="M9" s="961">
        <x:f>'8. Export, Import1'!N11</x:f>
        <x:v>27089.262333333336</x:v>
      </x:c>
      <x:c r="N9" s="1024"/>
      <x:c r="O9" s="962" t="s">
        <x:v>1160</x:v>
      </x:c>
      <x:c r="P9" s="963" t="s">
        <x:v>1185</x:v>
      </x:c>
    </x:row>
    <x:row r="10" spans="1:18" ht="16.899999999999999" customHeight="1">
      <x:c r="B10" s="964"/>
      <x:c r="C10" s="964"/>
      <x:c r="D10" s="964"/>
      <x:c r="E10" s="964"/>
      <x:c r="F10" s="964"/>
      <x:c r="G10" s="964"/>
      <x:c r="H10" s="964"/>
      <x:c r="I10" s="964"/>
      <x:c r="J10" s="964"/>
      <x:c r="K10" s="964"/>
      <x:c r="L10" s="964"/>
      <x:c r="M10" s="964"/>
      <x:c r="O10" s="965"/>
      <x:c r="P10" s="966"/>
    </x:row>
    <x:row r="11" spans="1:18" ht="16.899999999999999" customHeight="1">
      <x:c r="A11" s="1022" t="s">
        <x:v>35</x:v>
      </x:c>
      <x:c r="B11" s="955">
        <x:f>SUM(B12:B18)</x:f>
        <x:v>20897.966266666666</x:v>
      </x:c>
      <x:c r="C11" s="955">
        <x:f t="shared" ref="C11:M11" si="1">SUM(C12:C18)</x:f>
        <x:v>20897.966266666666</x:v>
      </x:c>
      <x:c r="D11" s="955">
        <x:f t="shared" si="1"/>
        <x:v>20897.966266666666</x:v>
      </x:c>
      <x:c r="E11" s="955">
        <x:f t="shared" si="1"/>
        <x:v>20897.966266666666</x:v>
      </x:c>
      <x:c r="F11" s="955">
        <x:f t="shared" si="1"/>
        <x:v>20897.966266666666</x:v>
      </x:c>
      <x:c r="G11" s="955">
        <x:f t="shared" si="1"/>
        <x:v>20897.966266666666</x:v>
      </x:c>
      <x:c r="H11" s="955">
        <x:f t="shared" si="1"/>
        <x:v>20897.966266666666</x:v>
      </x:c>
      <x:c r="I11" s="955">
        <x:f t="shared" si="1"/>
        <x:v>20897.966266666666</x:v>
      </x:c>
      <x:c r="J11" s="955">
        <x:f t="shared" si="1"/>
        <x:v>41795.932533333333</x:v>
      </x:c>
      <x:c r="K11" s="955">
        <x:f t="shared" si="1"/>
        <x:v>41795.932533333333</x:v>
      </x:c>
      <x:c r="L11" s="955">
        <x:f t="shared" si="1"/>
        <x:v>41795.932533333333</x:v>
      </x:c>
      <x:c r="M11" s="955">
        <x:f t="shared" si="1"/>
        <x:v>41795.932533333333</x:v>
      </x:c>
      <x:c r="O11" s="956"/>
      <x:c r="P11" s="957"/>
      <x:c r="R11" s="964">
        <x:f>+SUM(B11:M11)</x:f>
        <x:v>334367.46026666666</x:v>
      </x:c>
    </x:row>
    <x:row r="12" spans="1:18" ht="16.899999999999999" customHeight="1">
      <x:c r="A12" s="1023" t="s">
        <x:v>29</x:v>
      </x:c>
      <x:c r="B12" s="958">
        <x:f>'8. Export, Import1'!C40</x:f>
        <x:v>3260.9470833333339</x:v>
      </x:c>
      <x:c r="C12" s="958">
        <x:f>'8. Export, Import1'!D40</x:f>
        <x:v>3260.9470833333339</x:v>
      </x:c>
      <x:c r="D12" s="958">
        <x:f>'8. Export, Import1'!E40</x:f>
        <x:v>3260.9470833333339</x:v>
      </x:c>
      <x:c r="E12" s="958">
        <x:f>'8. Export, Import1'!F40</x:f>
        <x:v>3260.9470833333339</x:v>
      </x:c>
      <x:c r="F12" s="958">
        <x:f>'8. Export, Import1'!G40</x:f>
        <x:v>3260.9470833333339</x:v>
      </x:c>
      <x:c r="G12" s="958">
        <x:f>'8. Export, Import1'!H40</x:f>
        <x:v>3260.9470833333339</x:v>
      </x:c>
      <x:c r="H12" s="958">
        <x:f>'8. Export, Import1'!I40</x:f>
        <x:v>3260.9470833333339</x:v>
      </x:c>
      <x:c r="I12" s="958">
        <x:f>'8. Export, Import1'!J40</x:f>
        <x:v>3260.9470833333339</x:v>
      </x:c>
      <x:c r="J12" s="958">
        <x:f>'8. Export, Import1'!K40</x:f>
        <x:v>6521.8941666666678</x:v>
      </x:c>
      <x:c r="K12" s="958">
        <x:f>'8. Export, Import1'!L40</x:f>
        <x:v>6521.8941666666678</x:v>
      </x:c>
      <x:c r="L12" s="958">
        <x:f>'8. Export, Import1'!M40</x:f>
        <x:v>6521.8941666666678</x:v>
      </x:c>
      <x:c r="M12" s="958">
        <x:f>'8. Export, Import1'!N40</x:f>
        <x:v>6521.8941666666678</x:v>
      </x:c>
      <x:c r="N12" s="1024"/>
      <x:c r="O12" s="967" t="s">
        <x:v>1512</x:v>
      </x:c>
      <x:c r="P12" s="960" t="s">
        <x:v>1185</x:v>
      </x:c>
      <x:c r="R12" s="1025">
        <x:f>+R11-SUM(B12:M18)</x:f>
        <x:v>0</x:v>
      </x:c>
    </x:row>
    <x:row r="13" spans="1:18" ht="16.899999999999999" customHeight="1">
      <x:c r="A13" s="1023" t="s">
        <x:v>30</x:v>
      </x:c>
      <x:c r="B13" s="958">
        <x:f>'8. Export, Import1'!C41</x:f>
        <x:v>0</x:v>
      </x:c>
      <x:c r="C13" s="958">
        <x:f>'8. Export, Import1'!D41</x:f>
        <x:v>0</x:v>
      </x:c>
      <x:c r="D13" s="958">
        <x:f>'8. Export, Import1'!E41</x:f>
        <x:v>0</x:v>
      </x:c>
      <x:c r="E13" s="958">
        <x:f>'8. Export, Import1'!F41</x:f>
        <x:v>0</x:v>
      </x:c>
      <x:c r="F13" s="958">
        <x:f>'8. Export, Import1'!G41</x:f>
        <x:v>0</x:v>
      </x:c>
      <x:c r="G13" s="958">
        <x:f>'8. Export, Import1'!H41</x:f>
        <x:v>0</x:v>
      </x:c>
      <x:c r="H13" s="958">
        <x:f>'8. Export, Import1'!I41</x:f>
        <x:v>0</x:v>
      </x:c>
      <x:c r="I13" s="958">
        <x:f>'8. Export, Import1'!J41</x:f>
        <x:v>0</x:v>
      </x:c>
      <x:c r="J13" s="958">
        <x:f>'8. Export, Import1'!K41</x:f>
        <x:v>0</x:v>
      </x:c>
      <x:c r="K13" s="958">
        <x:f>'8. Export, Import1'!L41</x:f>
        <x:v>0</x:v>
      </x:c>
      <x:c r="L13" s="958">
        <x:f>'8. Export, Import1'!M41</x:f>
        <x:v>0</x:v>
      </x:c>
      <x:c r="M13" s="958">
        <x:f>'8. Export, Import1'!N41</x:f>
        <x:v>0</x:v>
      </x:c>
      <x:c r="N13" s="1024"/>
      <x:c r="O13" s="959"/>
      <x:c r="P13" s="960"/>
    </x:row>
    <x:row r="14" spans="1:18" ht="16.899999999999999" customHeight="1">
      <x:c r="A14" s="1023" t="s">
        <x:v>31</x:v>
      </x:c>
      <x:c r="B14" s="958">
        <x:f>'8. Export, Import1'!C42</x:f>
        <x:v>2443.8245000000002</x:v>
      </x:c>
      <x:c r="C14" s="958">
        <x:f>'8. Export, Import1'!D42</x:f>
        <x:v>2443.8245000000002</x:v>
      </x:c>
      <x:c r="D14" s="958">
        <x:f>'8. Export, Import1'!E42</x:f>
        <x:v>2443.8245000000002</x:v>
      </x:c>
      <x:c r="E14" s="958">
        <x:f>'8. Export, Import1'!F42</x:f>
        <x:v>2443.8245000000002</x:v>
      </x:c>
      <x:c r="F14" s="958">
        <x:f>'8. Export, Import1'!G42</x:f>
        <x:v>2443.8245000000002</x:v>
      </x:c>
      <x:c r="G14" s="958">
        <x:f>'8. Export, Import1'!H42</x:f>
        <x:v>2443.8245000000002</x:v>
      </x:c>
      <x:c r="H14" s="958">
        <x:f>'8. Export, Import1'!I42</x:f>
        <x:v>2443.8245000000002</x:v>
      </x:c>
      <x:c r="I14" s="958">
        <x:f>'8. Export, Import1'!J42</x:f>
        <x:v>2443.8245000000002</x:v>
      </x:c>
      <x:c r="J14" s="958">
        <x:f>'8. Export, Import1'!K42</x:f>
        <x:v>4887.6490000000003</x:v>
      </x:c>
      <x:c r="K14" s="958">
        <x:f>'8. Export, Import1'!L42</x:f>
        <x:v>4887.6490000000003</x:v>
      </x:c>
      <x:c r="L14" s="958">
        <x:f>'8. Export, Import1'!M42</x:f>
        <x:v>4887.6490000000003</x:v>
      </x:c>
      <x:c r="M14" s="958">
        <x:f>'8. Export, Import1'!N42</x:f>
        <x:v>4887.6490000000003</x:v>
      </x:c>
      <x:c r="N14" s="1024"/>
      <x:c r="O14" s="959"/>
      <x:c r="P14" s="960" t="s">
        <x:v>1185</x:v>
      </x:c>
    </x:row>
    <x:row r="15" spans="1:18" ht="16.899999999999999" customHeight="1">
      <x:c r="A15" s="1023" t="s">
        <x:v>32</x:v>
      </x:c>
      <x:c r="B15" s="958">
        <x:f>'8. Export, Import1'!C43</x:f>
        <x:v>3286.6121166666667</x:v>
      </x:c>
      <x:c r="C15" s="958">
        <x:f>'8. Export, Import1'!D43</x:f>
        <x:v>3286.6121166666667</x:v>
      </x:c>
      <x:c r="D15" s="958">
        <x:f>'8. Export, Import1'!E43</x:f>
        <x:v>3286.6121166666667</x:v>
      </x:c>
      <x:c r="E15" s="958">
        <x:f>'8. Export, Import1'!F43</x:f>
        <x:v>3286.6121166666667</x:v>
      </x:c>
      <x:c r="F15" s="958">
        <x:f>'8. Export, Import1'!G43</x:f>
        <x:v>3286.6121166666667</x:v>
      </x:c>
      <x:c r="G15" s="958">
        <x:f>'8. Export, Import1'!H43</x:f>
        <x:v>3286.6121166666667</x:v>
      </x:c>
      <x:c r="H15" s="958">
        <x:f>'8. Export, Import1'!I43</x:f>
        <x:v>3286.6121166666667</x:v>
      </x:c>
      <x:c r="I15" s="958">
        <x:f>'8. Export, Import1'!J43</x:f>
        <x:v>3286.6121166666667</x:v>
      </x:c>
      <x:c r="J15" s="958">
        <x:f>'8. Export, Import1'!K43</x:f>
        <x:v>6573.2242333333334</x:v>
      </x:c>
      <x:c r="K15" s="958">
        <x:f>'8. Export, Import1'!L43</x:f>
        <x:v>6573.2242333333334</x:v>
      </x:c>
      <x:c r="L15" s="958">
        <x:f>'8. Export, Import1'!M43</x:f>
        <x:v>6573.2242333333334</x:v>
      </x:c>
      <x:c r="M15" s="958">
        <x:f>'8. Export, Import1'!N43</x:f>
        <x:v>6573.2242333333334</x:v>
      </x:c>
      <x:c r="N15" s="1024"/>
      <x:c r="O15" s="959"/>
      <x:c r="P15" s="960" t="s">
        <x:v>1185</x:v>
      </x:c>
    </x:row>
    <x:row r="16" spans="1:18" ht="16.899999999999999" customHeight="1">
      <x:c r="A16" s="1023" t="s">
        <x:v>33</x:v>
      </x:c>
      <x:c r="B16" s="958">
        <x:f>'8. Export, Import1'!C44</x:f>
        <x:v>2469.1257500000006</x:v>
      </x:c>
      <x:c r="C16" s="958">
        <x:f>'8. Export, Import1'!D44</x:f>
        <x:v>2469.1257500000006</x:v>
      </x:c>
      <x:c r="D16" s="958">
        <x:f>'8. Export, Import1'!E44</x:f>
        <x:v>2469.1257500000006</x:v>
      </x:c>
      <x:c r="E16" s="958">
        <x:f>'8. Export, Import1'!F44</x:f>
        <x:v>2469.1257500000006</x:v>
      </x:c>
      <x:c r="F16" s="958">
        <x:f>'8. Export, Import1'!G44</x:f>
        <x:v>2469.1257500000006</x:v>
      </x:c>
      <x:c r="G16" s="958">
        <x:f>'8. Export, Import1'!H44</x:f>
        <x:v>2469.1257500000006</x:v>
      </x:c>
      <x:c r="H16" s="958">
        <x:f>'8. Export, Import1'!I44</x:f>
        <x:v>2469.1257500000006</x:v>
      </x:c>
      <x:c r="I16" s="958">
        <x:f>'8. Export, Import1'!J44</x:f>
        <x:v>2469.1257500000006</x:v>
      </x:c>
      <x:c r="J16" s="958">
        <x:f>'8. Export, Import1'!K44</x:f>
        <x:v>4938.2515000000012</x:v>
      </x:c>
      <x:c r="K16" s="958">
        <x:f>'8. Export, Import1'!L44</x:f>
        <x:v>4938.2515000000012</x:v>
      </x:c>
      <x:c r="L16" s="958">
        <x:f>'8. Export, Import1'!M44</x:f>
        <x:v>4938.2515000000012</x:v>
      </x:c>
      <x:c r="M16" s="958">
        <x:f>'8. Export, Import1'!N44</x:f>
        <x:v>4938.2515000000012</x:v>
      </x:c>
      <x:c r="N16" s="1024"/>
      <x:c r="O16" s="959"/>
      <x:c r="P16" s="960" t="s">
        <x:v>1185</x:v>
      </x:c>
    </x:row>
    <x:row r="17" spans="1:18" ht="16.899999999999999" customHeight="1">
      <x:c r="A17" s="1023" t="s">
        <x:v>36</x:v>
      </x:c>
      <x:c r="B17" s="958">
        <x:f>'8. Export, Import1'!C45</x:f>
        <x:v>8320.6183666666675</x:v>
      </x:c>
      <x:c r="C17" s="958">
        <x:f>'8. Export, Import1'!D45</x:f>
        <x:v>8320.6183666666675</x:v>
      </x:c>
      <x:c r="D17" s="958">
        <x:f>'8. Export, Import1'!E45</x:f>
        <x:v>8320.6183666666675</x:v>
      </x:c>
      <x:c r="E17" s="958">
        <x:f>'8. Export, Import1'!F45</x:f>
        <x:v>8320.6183666666675</x:v>
      </x:c>
      <x:c r="F17" s="958">
        <x:f>'8. Export, Import1'!G45</x:f>
        <x:v>8320.6183666666675</x:v>
      </x:c>
      <x:c r="G17" s="958">
        <x:f>'8. Export, Import1'!H45</x:f>
        <x:v>8320.6183666666675</x:v>
      </x:c>
      <x:c r="H17" s="958">
        <x:f>'8. Export, Import1'!I45</x:f>
        <x:v>8320.6183666666675</x:v>
      </x:c>
      <x:c r="I17" s="958">
        <x:f>'8. Export, Import1'!J45</x:f>
        <x:v>8320.6183666666675</x:v>
      </x:c>
      <x:c r="J17" s="958">
        <x:f>'8. Export, Import1'!K45</x:f>
        <x:v>16641.236733333335</x:v>
      </x:c>
      <x:c r="K17" s="958">
        <x:f>'8. Export, Import1'!L45</x:f>
        <x:v>16641.236733333335</x:v>
      </x:c>
      <x:c r="L17" s="958">
        <x:f>'8. Export, Import1'!M45</x:f>
        <x:v>16641.236733333335</x:v>
      </x:c>
      <x:c r="M17" s="958">
        <x:f>'8. Export, Import1'!N45</x:f>
        <x:v>16641.236733333335</x:v>
      </x:c>
      <x:c r="N17" s="1024"/>
      <x:c r="O17" s="959"/>
      <x:c r="P17" s="960" t="s">
        <x:v>1185</x:v>
      </x:c>
    </x:row>
    <x:row r="18" spans="1:18" ht="16.899999999999999" customHeight="1">
      <x:c r="A18" s="1026" t="s">
        <x:v>34</x:v>
      </x:c>
      <x:c r="B18" s="961">
        <x:f>'8. Export, Import1'!C46</x:f>
        <x:v>1116.8384499999997</x:v>
      </x:c>
      <x:c r="C18" s="961">
        <x:f>'8. Export, Import1'!D46</x:f>
        <x:v>1116.8384499999997</x:v>
      </x:c>
      <x:c r="D18" s="961">
        <x:f>'8. Export, Import1'!E46</x:f>
        <x:v>1116.8384499999997</x:v>
      </x:c>
      <x:c r="E18" s="961">
        <x:f>'8. Export, Import1'!F46</x:f>
        <x:v>1116.8384499999997</x:v>
      </x:c>
      <x:c r="F18" s="961">
        <x:f>'8. Export, Import1'!G46</x:f>
        <x:v>1116.8384499999997</x:v>
      </x:c>
      <x:c r="G18" s="961">
        <x:f>'8. Export, Import1'!H46</x:f>
        <x:v>1116.8384499999997</x:v>
      </x:c>
      <x:c r="H18" s="961">
        <x:f>'8. Export, Import1'!I46</x:f>
        <x:v>1116.8384499999997</x:v>
      </x:c>
      <x:c r="I18" s="961">
        <x:f>'8. Export, Import1'!J46</x:f>
        <x:v>1116.8384499999997</x:v>
      </x:c>
      <x:c r="J18" s="961">
        <x:f>'8. Export, Import1'!K46</x:f>
        <x:v>2233.6768999999995</x:v>
      </x:c>
      <x:c r="K18" s="961">
        <x:f>'8. Export, Import1'!L46</x:f>
        <x:v>2233.6768999999995</x:v>
      </x:c>
      <x:c r="L18" s="961">
        <x:f>'8. Export, Import1'!M46</x:f>
        <x:v>2233.6768999999995</x:v>
      </x:c>
      <x:c r="M18" s="961">
        <x:f>'8. Export, Import1'!N46</x:f>
        <x:v>2233.6768999999995</x:v>
      </x:c>
      <x:c r="N18" s="1024"/>
      <x:c r="O18" s="962"/>
      <x:c r="P18" s="963" t="s">
        <x:v>1185</x:v>
      </x:c>
    </x:row>
    <x:row r="19" spans="1:18" ht="16.899999999999999" customHeight="1">
      <x:c r="B19" s="964"/>
      <x:c r="C19" s="964"/>
      <x:c r="D19" s="964"/>
      <x:c r="E19" s="964"/>
      <x:c r="F19" s="964"/>
      <x:c r="G19" s="964"/>
      <x:c r="H19" s="964"/>
      <x:c r="I19" s="964"/>
      <x:c r="J19" s="964"/>
      <x:c r="K19" s="964"/>
      <x:c r="L19" s="964"/>
      <x:c r="M19" s="964"/>
      <x:c r="O19" s="965"/>
      <x:c r="P19" s="966"/>
    </x:row>
    <x:row r="20" spans="1:18" ht="16.899999999999999" customHeight="1">
      <x:c r="A20" s="1022" t="s">
        <x:v>37</x:v>
      </x:c>
      <x:c r="B20" s="968">
        <x:f>SUM(B21)</x:f>
        <x:v>554836.15</x:v>
      </x:c>
      <x:c r="C20" s="968">
        <x:f t="shared" ref="C20:M20" si="2">SUM(C21)</x:f>
        <x:v>554836.15</x:v>
      </x:c>
      <x:c r="D20" s="968">
        <x:f t="shared" si="2"/>
        <x:v>554836.15</x:v>
      </x:c>
      <x:c r="E20" s="968">
        <x:f t="shared" si="2"/>
        <x:v>554836.15</x:v>
      </x:c>
      <x:c r="F20" s="968">
        <x:f t="shared" si="2"/>
        <x:v>554836.15</x:v>
      </x:c>
      <x:c r="G20" s="968">
        <x:f t="shared" si="2"/>
        <x:v>554836.15</x:v>
      </x:c>
      <x:c r="H20" s="968">
        <x:f t="shared" si="2"/>
        <x:v>554836.15</x:v>
      </x:c>
      <x:c r="I20" s="968">
        <x:f t="shared" si="2"/>
        <x:v>554836.15</x:v>
      </x:c>
      <x:c r="J20" s="968">
        <x:f t="shared" si="2"/>
        <x:v>554836.15</x:v>
      </x:c>
      <x:c r="K20" s="968">
        <x:f t="shared" si="2"/>
        <x:v>554836.15</x:v>
      </x:c>
      <x:c r="L20" s="968">
        <x:f t="shared" si="2"/>
        <x:v>554836.15</x:v>
      </x:c>
      <x:c r="M20" s="968">
        <x:f t="shared" si="2"/>
        <x:v>554836.15</x:v>
      </x:c>
      <x:c r="O20" s="969"/>
      <x:c r="P20" s="970"/>
      <x:c r="R20" s="964">
        <x:f>+SUM(B20:M20)</x:f>
        <x:v>6658033.8000000017</x:v>
      </x:c>
    </x:row>
    <x:row r="21" spans="1:18" ht="16.899999999999999" customHeight="1">
      <x:c r="A21" s="1026" t="s">
        <x:v>38</x:v>
      </x:c>
      <x:c r="B21" s="961">
        <x:f>'9.Transportation'!C5</x:f>
        <x:v>554836.15</x:v>
      </x:c>
      <x:c r="C21" s="961">
        <x:f>'9.Transportation'!D5</x:f>
        <x:v>554836.15</x:v>
      </x:c>
      <x:c r="D21" s="961">
        <x:f>'9.Transportation'!E5</x:f>
        <x:v>554836.15</x:v>
      </x:c>
      <x:c r="E21" s="961">
        <x:f>'9.Transportation'!F5</x:f>
        <x:v>554836.15</x:v>
      </x:c>
      <x:c r="F21" s="961">
        <x:f>'9.Transportation'!G5</x:f>
        <x:v>554836.15</x:v>
      </x:c>
      <x:c r="G21" s="961">
        <x:f>'9.Transportation'!H5</x:f>
        <x:v>554836.15</x:v>
      </x:c>
      <x:c r="H21" s="961">
        <x:f>'9.Transportation'!I5</x:f>
        <x:v>554836.15</x:v>
      </x:c>
      <x:c r="I21" s="961">
        <x:f>'9.Transportation'!J5</x:f>
        <x:v>554836.15</x:v>
      </x:c>
      <x:c r="J21" s="961">
        <x:f>'9.Transportation'!K5</x:f>
        <x:v>554836.15</x:v>
      </x:c>
      <x:c r="K21" s="961">
        <x:f>'9.Transportation'!L5</x:f>
        <x:v>554836.15</x:v>
      </x:c>
      <x:c r="L21" s="961">
        <x:f>'9.Transportation'!M5</x:f>
        <x:v>554836.15</x:v>
      </x:c>
      <x:c r="M21" s="961">
        <x:f>'9.Transportation'!N5</x:f>
        <x:v>554836.15</x:v>
      </x:c>
      <x:c r="N21" s="1024"/>
      <x:c r="O21" s="962" t="s">
        <x:v>1188</x:v>
      </x:c>
      <x:c r="P21" s="963" t="s">
        <x:v>1185</x:v>
      </x:c>
      <x:c r="R21" s="1025">
        <x:f>+R20-SUM(B21:M21)</x:f>
        <x:v>0</x:v>
      </x:c>
    </x:row>
    <x:row r="22" spans="1:18" ht="16.899999999999999" customHeight="1">
      <x:c r="B22" s="964"/>
      <x:c r="C22" s="964"/>
      <x:c r="D22" s="964"/>
      <x:c r="E22" s="964"/>
      <x:c r="F22" s="964"/>
      <x:c r="G22" s="964"/>
      <x:c r="H22" s="964"/>
      <x:c r="I22" s="964"/>
      <x:c r="J22" s="964"/>
      <x:c r="K22" s="964"/>
      <x:c r="L22" s="964"/>
      <x:c r="M22" s="964"/>
      <x:c r="O22" s="965"/>
      <x:c r="P22" s="966"/>
    </x:row>
    <x:row r="23" spans="1:18" ht="16.899999999999999" customHeight="1">
      <x:c r="A23" s="1022" t="s">
        <x:v>39</x:v>
      </x:c>
      <x:c r="B23" s="968">
        <x:f>SUM(B24:B25)</x:f>
        <x:v>0</x:v>
      </x:c>
      <x:c r="C23" s="968">
        <x:f t="shared" ref="C23:M23" si="3">SUM(C24:C25)</x:f>
        <x:v>0</x:v>
      </x:c>
      <x:c r="D23" s="968">
        <x:f t="shared" si="3"/>
        <x:v>0</x:v>
      </x:c>
      <x:c r="E23" s="968">
        <x:f t="shared" si="3"/>
        <x:v>0</x:v>
      </x:c>
      <x:c r="F23" s="968">
        <x:f t="shared" si="3"/>
        <x:v>0</x:v>
      </x:c>
      <x:c r="G23" s="968">
        <x:f t="shared" si="3"/>
        <x:v>0</x:v>
      </x:c>
      <x:c r="H23" s="968">
        <x:f t="shared" si="3"/>
        <x:v>0</x:v>
      </x:c>
      <x:c r="I23" s="968">
        <x:f t="shared" si="3"/>
        <x:v>0</x:v>
      </x:c>
      <x:c r="J23" s="968">
        <x:f t="shared" si="3"/>
        <x:v>0</x:v>
      </x:c>
      <x:c r="K23" s="968">
        <x:f t="shared" si="3"/>
        <x:v>0</x:v>
      </x:c>
      <x:c r="L23" s="968">
        <x:f t="shared" si="3"/>
        <x:v>0</x:v>
      </x:c>
      <x:c r="M23" s="968">
        <x:f t="shared" si="3"/>
        <x:v>0</x:v>
      </x:c>
      <x:c r="O23" s="969"/>
      <x:c r="P23" s="970"/>
      <x:c r="R23" s="964">
        <x:f>+SUM(B23:M23)</x:f>
        <x:v>0</x:v>
      </x:c>
    </x:row>
    <x:row r="24" spans="1:18" ht="16.899999999999999" customHeight="1">
      <x:c r="A24" s="1023" t="s">
        <x:v>40</x:v>
      </x:c>
      <x:c r="B24" s="958" t="s">
        <x:v>287</x:v>
      </x:c>
      <x:c r="C24" s="958" t="s">
        <x:v>287</x:v>
      </x:c>
      <x:c r="D24" s="958" t="s">
        <x:v>287</x:v>
      </x:c>
      <x:c r="E24" s="958" t="s">
        <x:v>287</x:v>
      </x:c>
      <x:c r="F24" s="958" t="s">
        <x:v>287</x:v>
      </x:c>
      <x:c r="G24" s="958" t="s">
        <x:v>287</x:v>
      </x:c>
      <x:c r="H24" s="958" t="s">
        <x:v>287</x:v>
      </x:c>
      <x:c r="I24" s="958" t="s">
        <x:v>287</x:v>
      </x:c>
      <x:c r="J24" s="958" t="s">
        <x:v>287</x:v>
      </x:c>
      <x:c r="K24" s="958" t="s">
        <x:v>287</x:v>
      </x:c>
      <x:c r="L24" s="958" t="s">
        <x:v>287</x:v>
      </x:c>
      <x:c r="M24" s="958" t="s">
        <x:v>287</x:v>
      </x:c>
      <x:c r="N24" s="1024"/>
      <x:c r="O24" s="959" t="s">
        <x:v>1212</x:v>
      </x:c>
      <x:c r="P24" s="960"/>
      <x:c r="R24" s="1025">
        <x:f>+R23-SUM(B24:M25)</x:f>
        <x:v>0</x:v>
      </x:c>
    </x:row>
    <x:row r="25" spans="1:18" ht="16.899999999999999" customHeight="1">
      <x:c r="A25" s="1026" t="s">
        <x:v>41</x:v>
      </x:c>
      <x:c r="B25" s="961" t="s">
        <x:v>287</x:v>
      </x:c>
      <x:c r="C25" s="961" t="s">
        <x:v>287</x:v>
      </x:c>
      <x:c r="D25" s="961" t="s">
        <x:v>287</x:v>
      </x:c>
      <x:c r="E25" s="961" t="s">
        <x:v>287</x:v>
      </x:c>
      <x:c r="F25" s="961" t="s">
        <x:v>287</x:v>
      </x:c>
      <x:c r="G25" s="961" t="s">
        <x:v>287</x:v>
      </x:c>
      <x:c r="H25" s="961" t="s">
        <x:v>287</x:v>
      </x:c>
      <x:c r="I25" s="961" t="s">
        <x:v>287</x:v>
      </x:c>
      <x:c r="J25" s="961" t="s">
        <x:v>287</x:v>
      </x:c>
      <x:c r="K25" s="961" t="s">
        <x:v>287</x:v>
      </x:c>
      <x:c r="L25" s="961" t="s">
        <x:v>287</x:v>
      </x:c>
      <x:c r="M25" s="961" t="s">
        <x:v>287</x:v>
      </x:c>
      <x:c r="N25" s="1024"/>
      <x:c r="O25" s="962" t="s">
        <x:v>1212</x:v>
      </x:c>
      <x:c r="P25" s="963"/>
    </x:row>
    <x:row r="26" spans="1:18" ht="16.899999999999999" customHeight="1">
      <x:c r="B26" s="964"/>
      <x:c r="C26" s="964"/>
      <x:c r="D26" s="964"/>
      <x:c r="E26" s="964"/>
      <x:c r="F26" s="964"/>
      <x:c r="G26" s="964"/>
      <x:c r="H26" s="964"/>
      <x:c r="I26" s="964"/>
      <x:c r="J26" s="964"/>
      <x:c r="K26" s="964"/>
      <x:c r="L26" s="964"/>
      <x:c r="M26" s="964"/>
      <x:c r="O26" s="965"/>
      <x:c r="P26" s="966"/>
    </x:row>
    <x:row r="27" spans="1:18" ht="16.899999999999999" customHeight="1">
      <x:c r="A27" s="1022" t="s">
        <x:v>42</x:v>
      </x:c>
      <x:c r="B27" s="968">
        <x:f>SUM(B28:B30)</x:f>
        <x:v>41357.485125000007</x:v>
      </x:c>
      <x:c r="C27" s="968">
        <x:f t="shared" ref="C27:M27" si="4">SUM(C28:C30)</x:f>
        <x:v>41357.485125000007</x:v>
      </x:c>
      <x:c r="D27" s="968">
        <x:f t="shared" si="4"/>
        <x:v>41357.485125000007</x:v>
      </x:c>
      <x:c r="E27" s="968">
        <x:f t="shared" si="4"/>
        <x:v>41357.485125000007</x:v>
      </x:c>
      <x:c r="F27" s="968">
        <x:f t="shared" si="4"/>
        <x:v>41357.485125000007</x:v>
      </x:c>
      <x:c r="G27" s="968">
        <x:f t="shared" si="4"/>
        <x:v>41357.485125000007</x:v>
      </x:c>
      <x:c r="H27" s="968">
        <x:f t="shared" si="4"/>
        <x:v>41357.485125000007</x:v>
      </x:c>
      <x:c r="I27" s="968">
        <x:f t="shared" si="4"/>
        <x:v>41357.485125000007</x:v>
      </x:c>
      <x:c r="J27" s="968">
        <x:f t="shared" si="4"/>
        <x:v>41357.485125000007</x:v>
      </x:c>
      <x:c r="K27" s="968">
        <x:f t="shared" si="4"/>
        <x:v>41357.485125000007</x:v>
      </x:c>
      <x:c r="L27" s="968">
        <x:f t="shared" si="4"/>
        <x:v>41357.485125000007</x:v>
      </x:c>
      <x:c r="M27" s="968">
        <x:f t="shared" si="4"/>
        <x:v>41357.485125000007</x:v>
      </x:c>
      <x:c r="O27" s="969"/>
      <x:c r="P27" s="970"/>
      <x:c r="R27" s="964">
        <x:f>+SUM(B27:M27)</x:f>
        <x:v>496289.82150000008</x:v>
      </x:c>
    </x:row>
    <x:row r="28" spans="1:18" ht="16.899999999999999" customHeight="1">
      <x:c r="A28" s="1023" t="s">
        <x:v>43</x:v>
      </x:c>
      <x:c r="B28" s="958">
        <x:f>'9.Transportation'!C28</x:f>
        <x:v>6790.5596250000008</x:v>
      </x:c>
      <x:c r="C28" s="958">
        <x:f>'9.Transportation'!D28</x:f>
        <x:v>6790.5596250000008</x:v>
      </x:c>
      <x:c r="D28" s="958">
        <x:f>'9.Transportation'!E28</x:f>
        <x:v>6790.5596250000008</x:v>
      </x:c>
      <x:c r="E28" s="958">
        <x:f>'9.Transportation'!F28</x:f>
        <x:v>6790.5596250000008</x:v>
      </x:c>
      <x:c r="F28" s="958">
        <x:f>'9.Transportation'!G28</x:f>
        <x:v>6790.5596250000008</x:v>
      </x:c>
      <x:c r="G28" s="958">
        <x:f>'9.Transportation'!H28</x:f>
        <x:v>6790.5596250000008</x:v>
      </x:c>
      <x:c r="H28" s="958">
        <x:f>'9.Transportation'!I28</x:f>
        <x:v>6790.5596250000008</x:v>
      </x:c>
      <x:c r="I28" s="958">
        <x:f>'9.Transportation'!J28</x:f>
        <x:v>6790.5596250000008</x:v>
      </x:c>
      <x:c r="J28" s="958">
        <x:f>'9.Transportation'!K28</x:f>
        <x:v>6790.5596250000008</x:v>
      </x:c>
      <x:c r="K28" s="958">
        <x:f>'9.Transportation'!L28</x:f>
        <x:v>6790.5596250000008</x:v>
      </x:c>
      <x:c r="L28" s="958">
        <x:f>'9.Transportation'!M28</x:f>
        <x:v>6790.5596250000008</x:v>
      </x:c>
      <x:c r="M28" s="958">
        <x:f>'9.Transportation'!N28</x:f>
        <x:v>6790.5596250000008</x:v>
      </x:c>
      <x:c r="N28" s="1024"/>
      <x:c r="O28" s="959" t="s">
        <x:v>1162</x:v>
      </x:c>
      <x:c r="P28" s="960" t="s">
        <x:v>1185</x:v>
      </x:c>
      <x:c r="R28" s="1025">
        <x:f>+R27-SUM(B28:M30)</x:f>
        <x:v>0</x:v>
      </x:c>
    </x:row>
    <x:row r="29" spans="1:18" ht="16.899999999999999" customHeight="1">
      <x:c r="A29" s="1027" t="s">
        <x:v>44</x:v>
      </x:c>
      <x:c r="B29" s="958">
        <x:f>'9.Transportation'!C29</x:f>
        <x:v>3457.4613750000003</x:v>
      </x:c>
      <x:c r="C29" s="958">
        <x:f>'9.Transportation'!D29</x:f>
        <x:v>3457.4613750000003</x:v>
      </x:c>
      <x:c r="D29" s="958">
        <x:f>'9.Transportation'!E29</x:f>
        <x:v>3457.4613750000003</x:v>
      </x:c>
      <x:c r="E29" s="958">
        <x:f>'9.Transportation'!F29</x:f>
        <x:v>3457.4613750000003</x:v>
      </x:c>
      <x:c r="F29" s="958">
        <x:f>'9.Transportation'!G29</x:f>
        <x:v>3457.4613750000003</x:v>
      </x:c>
      <x:c r="G29" s="958">
        <x:f>'9.Transportation'!H29</x:f>
        <x:v>3457.4613750000003</x:v>
      </x:c>
      <x:c r="H29" s="958">
        <x:f>'9.Transportation'!I29</x:f>
        <x:v>3457.4613750000003</x:v>
      </x:c>
      <x:c r="I29" s="958">
        <x:f>'9.Transportation'!J29</x:f>
        <x:v>3457.4613750000003</x:v>
      </x:c>
      <x:c r="J29" s="958">
        <x:f>'9.Transportation'!K29</x:f>
        <x:v>3457.4613750000003</x:v>
      </x:c>
      <x:c r="K29" s="958">
        <x:f>'9.Transportation'!L29</x:f>
        <x:v>3457.4613750000003</x:v>
      </x:c>
      <x:c r="L29" s="958">
        <x:f>'9.Transportation'!M29</x:f>
        <x:v>3457.4613750000003</x:v>
      </x:c>
      <x:c r="M29" s="958">
        <x:f>'9.Transportation'!N29</x:f>
        <x:v>3457.4613750000003</x:v>
      </x:c>
      <x:c r="N29" s="1024"/>
      <x:c r="O29" s="971" t="s">
        <x:v>1161</x:v>
      </x:c>
      <x:c r="P29" s="960" t="s">
        <x:v>1185</x:v>
      </x:c>
    </x:row>
    <x:row r="30" spans="1:18" ht="16.899999999999999" customHeight="1">
      <x:c r="A30" s="1026" t="s">
        <x:v>973</x:v>
      </x:c>
      <x:c r="B30" s="961">
        <x:f>'9.Transportation'!C30</x:f>
        <x:v>31109.464125000002</x:v>
      </x:c>
      <x:c r="C30" s="961">
        <x:f>'9.Transportation'!D30</x:f>
        <x:v>31109.464125000002</x:v>
      </x:c>
      <x:c r="D30" s="961">
        <x:f>'9.Transportation'!E30</x:f>
        <x:v>31109.464125000002</x:v>
      </x:c>
      <x:c r="E30" s="961">
        <x:f>'9.Transportation'!F30</x:f>
        <x:v>31109.464125000002</x:v>
      </x:c>
      <x:c r="F30" s="961">
        <x:f>'9.Transportation'!G30</x:f>
        <x:v>31109.464125000002</x:v>
      </x:c>
      <x:c r="G30" s="961">
        <x:f>'9.Transportation'!H30</x:f>
        <x:v>31109.464125000002</x:v>
      </x:c>
      <x:c r="H30" s="961">
        <x:f>'9.Transportation'!I30</x:f>
        <x:v>31109.464125000002</x:v>
      </x:c>
      <x:c r="I30" s="961">
        <x:f>'9.Transportation'!J30</x:f>
        <x:v>31109.464125000002</x:v>
      </x:c>
      <x:c r="J30" s="961">
        <x:f>'9.Transportation'!K30</x:f>
        <x:v>31109.464125000002</x:v>
      </x:c>
      <x:c r="K30" s="961">
        <x:f>'9.Transportation'!L30</x:f>
        <x:v>31109.464125000002</x:v>
      </x:c>
      <x:c r="L30" s="961">
        <x:f>'9.Transportation'!M30</x:f>
        <x:v>31109.464125000002</x:v>
      </x:c>
      <x:c r="M30" s="961">
        <x:f>'9.Transportation'!N30</x:f>
        <x:v>31109.464125000002</x:v>
      </x:c>
      <x:c r="N30" s="1024"/>
      <x:c r="O30" s="962" t="s">
        <x:v>1163</x:v>
      </x:c>
      <x:c r="P30" s="963" t="s">
        <x:v>1185</x:v>
      </x:c>
    </x:row>
    <x:row r="31" spans="1:18" ht="16.899999999999999" customHeight="1">
      <x:c r="B31" s="964"/>
      <x:c r="C31" s="964"/>
      <x:c r="D31" s="964"/>
      <x:c r="E31" s="964"/>
      <x:c r="F31" s="964"/>
      <x:c r="G31" s="964"/>
      <x:c r="H31" s="964"/>
      <x:c r="I31" s="964"/>
      <x:c r="J31" s="964"/>
      <x:c r="K31" s="964"/>
      <x:c r="L31" s="964"/>
      <x:c r="M31" s="964"/>
      <x:c r="O31" s="965"/>
      <x:c r="P31" s="966"/>
    </x:row>
    <x:row r="32" spans="1:18" ht="16.899999999999999" customHeight="1">
      <x:c r="A32" s="1022" t="s">
        <x:v>45</x:v>
      </x:c>
      <x:c r="B32" s="968">
        <x:f>SUM(B33)</x:f>
        <x:v>106596.588384</x:v>
      </x:c>
      <x:c r="C32" s="968">
        <x:f t="shared" ref="C32:M32" si="5">SUM(C33)</x:f>
        <x:v>121132.48680000001</x:v>
      </x:c>
      <x:c r="D32" s="968">
        <x:f t="shared" si="5"/>
        <x:v>139706.13477600002</x:v>
      </x:c>
      <x:c r="E32" s="968">
        <x:f t="shared" si="5"/>
        <x:v>86407.840584000005</x:v>
      </x:c>
      <x:c r="F32" s="968">
        <x:f t="shared" si="5"/>
        <x:v>120324.93688800001</x:v>
      </x:c>
      <x:c r="G32" s="968">
        <x:f t="shared" si="5"/>
        <x:v>150204.28363200004</x:v>
      </x:c>
      <x:c r="H32" s="968">
        <x:f t="shared" si="5"/>
        <x:v>92060.689968000021</x:v>
      </x:c>
      <x:c r="I32" s="968">
        <x:f t="shared" si="5"/>
        <x:v>127592.886096</x:v>
      </x:c>
      <x:c r="J32" s="968">
        <x:f t="shared" si="5"/>
        <x:v>135668.38521600002</x:v>
      </x:c>
      <x:c r="K32" s="968">
        <x:f t="shared" si="5"/>
        <x:v>135668.38521600002</x:v>
      </x:c>
      <x:c r="L32" s="968">
        <x:f t="shared" si="5"/>
        <x:v>121132.48680000001</x:v>
      </x:c>
      <x:c r="M32" s="968">
        <x:f t="shared" si="5"/>
        <x:v>121132.48680000001</x:v>
      </x:c>
      <x:c r="O32" s="969"/>
      <x:c r="P32" s="970"/>
      <x:c r="R32" s="964">
        <x:f>+SUM(B32:M32)</x:f>
        <x:v>1457627.5911600003</x:v>
      </x:c>
    </x:row>
    <x:row r="33" spans="1:18" ht="16.899999999999999" customHeight="1">
      <x:c r="A33" s="1026" t="s">
        <x:v>46</x:v>
      </x:c>
      <x:c r="B33" s="961">
        <x:f>SUM('10. Warehouse'!E24,'10. Warehouse'!E26)</x:f>
        <x:v>106596.588384</x:v>
      </x:c>
      <x:c r="C33" s="961">
        <x:f>SUM('10. Warehouse'!F24,'10. Warehouse'!F26)</x:f>
        <x:v>121132.48680000001</x:v>
      </x:c>
      <x:c r="D33" s="961">
        <x:f>SUM('10. Warehouse'!G24,'10. Warehouse'!G26)</x:f>
        <x:v>139706.13477600002</x:v>
      </x:c>
      <x:c r="E33" s="961">
        <x:f>SUM('10. Warehouse'!H24,'10. Warehouse'!H26)</x:f>
        <x:v>86407.840584000005</x:v>
      </x:c>
      <x:c r="F33" s="961">
        <x:f>SUM('10. Warehouse'!I24,'10. Warehouse'!I26)</x:f>
        <x:v>120324.93688800001</x:v>
      </x:c>
      <x:c r="G33" s="961">
        <x:f>SUM('10. Warehouse'!J24,'10. Warehouse'!J26)</x:f>
        <x:v>150204.28363200004</x:v>
      </x:c>
      <x:c r="H33" s="961">
        <x:f>SUM('10. Warehouse'!K24,'10. Warehouse'!K26)</x:f>
        <x:v>92060.689968000021</x:v>
      </x:c>
      <x:c r="I33" s="961">
        <x:f>SUM('10. Warehouse'!L24,'10. Warehouse'!L26)</x:f>
        <x:v>127592.886096</x:v>
      </x:c>
      <x:c r="J33" s="961">
        <x:f>SUM('10. Warehouse'!M24,'10. Warehouse'!M26)</x:f>
        <x:v>135668.38521600002</x:v>
      </x:c>
      <x:c r="K33" s="961">
        <x:f>SUM('10. Warehouse'!N24,'10. Warehouse'!N26)</x:f>
        <x:v>135668.38521600002</x:v>
      </x:c>
      <x:c r="L33" s="961">
        <x:f>SUM('10. Warehouse'!O24,'10. Warehouse'!O26)</x:f>
        <x:v>121132.48680000001</x:v>
      </x:c>
      <x:c r="M33" s="961">
        <x:f>SUM('10. Warehouse'!P24,'10. Warehouse'!P26)</x:f>
        <x:v>121132.48680000001</x:v>
      </x:c>
      <x:c r="N33" s="1024"/>
      <x:c r="O33" s="962" t="s">
        <x:v>1164</x:v>
      </x:c>
      <x:c r="P33" s="963" t="s">
        <x:v>1185</x:v>
      </x:c>
      <x:c r="R33" s="1025">
        <x:f>+R32-SUM(B33:M33)</x:f>
        <x:v>0</x:v>
      </x:c>
    </x:row>
    <x:row r="34" spans="1:18" ht="16.899999999999999" customHeight="1">
      <x:c r="B34" s="964"/>
      <x:c r="C34" s="964"/>
      <x:c r="D34" s="964"/>
      <x:c r="E34" s="964"/>
      <x:c r="F34" s="964"/>
      <x:c r="G34" s="964"/>
      <x:c r="H34" s="964"/>
      <x:c r="I34" s="964"/>
      <x:c r="J34" s="964"/>
      <x:c r="K34" s="964"/>
      <x:c r="L34" s="964"/>
      <x:c r="M34" s="964"/>
      <x:c r="O34" s="965"/>
      <x:c r="P34" s="966"/>
    </x:row>
    <x:row r="35" spans="1:18" ht="16.899999999999999" customHeight="1">
      <x:c r="A35" s="1022" t="s">
        <x:v>41</x:v>
      </x:c>
      <x:c r="B35" s="968">
        <x:f>SUM(B36:B38)</x:f>
        <x:v>110088.27916666667</x:v>
      </x:c>
      <x:c r="C35" s="968">
        <x:f t="shared" ref="C35:M35" si="6">SUM(C36:C38)</x:f>
        <x:v>110088.27916666667</x:v>
      </x:c>
      <x:c r="D35" s="968">
        <x:f t="shared" si="6"/>
        <x:v>110088.27916666667</x:v>
      </x:c>
      <x:c r="E35" s="968">
        <x:f t="shared" si="6"/>
        <x:v>110088.27916666667</x:v>
      </x:c>
      <x:c r="F35" s="968">
        <x:f t="shared" si="6"/>
        <x:v>2110088.2791666668</x:v>
      </x:c>
      <x:c r="G35" s="968">
        <x:f t="shared" si="6"/>
        <x:v>110088.27916666667</x:v>
      </x:c>
      <x:c r="H35" s="968">
        <x:f t="shared" si="6"/>
        <x:v>110088.27916666667</x:v>
      </x:c>
      <x:c r="I35" s="968">
        <x:f t="shared" si="6"/>
        <x:v>110088.27916666667</x:v>
      </x:c>
      <x:c r="J35" s="968">
        <x:f t="shared" si="6"/>
        <x:v>110088.27916666667</x:v>
      </x:c>
      <x:c r="K35" s="968">
        <x:f t="shared" si="6"/>
        <x:v>110088.27916666667</x:v>
      </x:c>
      <x:c r="L35" s="968">
        <x:f t="shared" si="6"/>
        <x:v>110088.27916666667</x:v>
      </x:c>
      <x:c r="M35" s="968">
        <x:f t="shared" si="6"/>
        <x:v>110088.27916666667</x:v>
      </x:c>
      <x:c r="O35" s="969"/>
      <x:c r="P35" s="970"/>
      <x:c r="R35" s="964">
        <x:f>+SUM(B35:M35)</x:f>
        <x:v>3321059.350000001</x:v>
      </x:c>
    </x:row>
    <x:row r="36" spans="1:18" ht="16.899999999999999" customHeight="1">
      <x:c r="A36" s="1023" t="s">
        <x:v>47</x:v>
      </x:c>
      <x:c r="B36" s="958"/>
      <x:c r="C36" s="958"/>
      <x:c r="D36" s="958"/>
      <x:c r="E36" s="958"/>
      <x:c r="F36" s="958"/>
      <x:c r="G36" s="958"/>
      <x:c r="H36" s="958"/>
      <x:c r="I36" s="958"/>
      <x:c r="J36" s="958"/>
      <x:c r="K36" s="958"/>
      <x:c r="L36" s="958"/>
      <x:c r="M36" s="958"/>
      <x:c r="N36" s="1024"/>
      <x:c r="O36" s="959"/>
      <x:c r="P36" s="960"/>
      <x:c r="R36" s="1025">
        <x:f>+R35-SUM(B36:M38)</x:f>
        <x:v>0</x:v>
      </x:c>
    </x:row>
    <x:row r="37" spans="1:18" ht="16.899999999999999" customHeight="1">
      <x:c r="A37" s="1023" t="s">
        <x:v>48</x:v>
      </x:c>
      <x:c r="B37" s="958">
        <x:f>'10. Warehouse'!E27</x:f>
        <x:v>110088.27916666667</x:v>
      </x:c>
      <x:c r="C37" s="958">
        <x:f>'10. Warehouse'!F27</x:f>
        <x:v>110088.27916666667</x:v>
      </x:c>
      <x:c r="D37" s="958">
        <x:f>'10. Warehouse'!G27</x:f>
        <x:v>110088.27916666667</x:v>
      </x:c>
      <x:c r="E37" s="958">
        <x:f>'10. Warehouse'!H27</x:f>
        <x:v>110088.27916666667</x:v>
      </x:c>
      <x:c r="F37" s="958">
        <x:f>'10. Warehouse'!I27</x:f>
        <x:v>110088.27916666667</x:v>
      </x:c>
      <x:c r="G37" s="958">
        <x:f>'10. Warehouse'!J27</x:f>
        <x:v>110088.27916666667</x:v>
      </x:c>
      <x:c r="H37" s="958">
        <x:f>'10. Warehouse'!K27</x:f>
        <x:v>110088.27916666667</x:v>
      </x:c>
      <x:c r="I37" s="958">
        <x:f>'10. Warehouse'!L27</x:f>
        <x:v>110088.27916666667</x:v>
      </x:c>
      <x:c r="J37" s="958">
        <x:f>'10. Warehouse'!M27</x:f>
        <x:v>110088.27916666667</x:v>
      </x:c>
      <x:c r="K37" s="958">
        <x:f>'10. Warehouse'!N27</x:f>
        <x:v>110088.27916666667</x:v>
      </x:c>
      <x:c r="L37" s="958">
        <x:f>'10. Warehouse'!O27</x:f>
        <x:v>110088.27916666667</x:v>
      </x:c>
      <x:c r="M37" s="958">
        <x:f>'10. Warehouse'!P27</x:f>
        <x:v>110088.27916666667</x:v>
      </x:c>
      <x:c r="N37" s="1024"/>
      <x:c r="O37" s="971" t="s">
        <x:v>1165</x:v>
      </x:c>
      <x:c r="P37" s="960" t="s">
        <x:v>1185</x:v>
      </x:c>
    </x:row>
    <x:row r="38" spans="1:18" ht="16.899999999999999" customHeight="1">
      <x:c r="A38" s="1026" t="s">
        <x:v>49</x:v>
      </x:c>
      <x:c r="B38" s="961" t="str">
        <x:f>'15. Test, Royalty '!D6</x:f>
        <x:v>-</x:v>
      </x:c>
      <x:c r="C38" s="961" t="str">
        <x:f>'15. Test, Royalty '!E6</x:f>
        <x:v>-</x:v>
      </x:c>
      <x:c r="D38" s="961" t="str">
        <x:f>'15. Test, Royalty '!F6</x:f>
        <x:v>-</x:v>
      </x:c>
      <x:c r="E38" s="961" t="str">
        <x:f>'15. Test, Royalty '!G6</x:f>
        <x:v>-</x:v>
      </x:c>
      <x:c r="F38" s="961">
        <x:f>'15. Test, Royalty '!H6</x:f>
        <x:v>2000000</x:v>
      </x:c>
      <x:c r="G38" s="961" t="str">
        <x:f>'15. Test, Royalty '!I6</x:f>
        <x:v>-</x:v>
      </x:c>
      <x:c r="H38" s="961" t="str">
        <x:f>'15. Test, Royalty '!J6</x:f>
        <x:v>-</x:v>
      </x:c>
      <x:c r="I38" s="961" t="str">
        <x:f>'15. Test, Royalty '!K6</x:f>
        <x:v>-</x:v>
      </x:c>
      <x:c r="J38" s="961" t="str">
        <x:f>'15. Test, Royalty '!L6</x:f>
        <x:v>-</x:v>
      </x:c>
      <x:c r="K38" s="961" t="str">
        <x:f>'15. Test, Royalty '!M6</x:f>
        <x:v>-</x:v>
      </x:c>
      <x:c r="L38" s="961" t="str">
        <x:f>'15. Test, Royalty '!N6</x:f>
        <x:v>-</x:v>
      </x:c>
      <x:c r="M38" s="961" t="str">
        <x:f>'15. Test, Royalty '!O6</x:f>
        <x:v>-</x:v>
      </x:c>
      <x:c r="N38" s="1028"/>
      <x:c r="O38" s="962" t="s">
        <x:v>1205</x:v>
      </x:c>
      <x:c r="P38" s="963"/>
    </x:row>
    <x:row r="39" spans="1:18" ht="16.899999999999999" customHeight="1">
      <x:c r="B39" s="964"/>
      <x:c r="C39" s="964"/>
      <x:c r="D39" s="964"/>
      <x:c r="E39" s="964"/>
      <x:c r="F39" s="964"/>
      <x:c r="G39" s="964"/>
      <x:c r="H39" s="964"/>
      <x:c r="I39" s="964"/>
      <x:c r="J39" s="964"/>
      <x:c r="K39" s="964"/>
      <x:c r="L39" s="964"/>
      <x:c r="M39" s="964"/>
      <x:c r="O39" s="953"/>
      <x:c r="P39" s="878"/>
    </x:row>
    <x:row r="40" spans="1:18" ht="16.899999999999999" customHeight="1">
      <x:c r="A40" s="1022" t="s">
        <x:v>1020</x:v>
      </x:c>
      <x:c r="B40" s="968">
        <x:f>SUM(B41:B44)</x:f>
        <x:v>935310.6773819112</x:v>
      </x:c>
      <x:c r="C40" s="968">
        <x:f t="shared" ref="C40:M40" si="7">SUM(C41:C44)</x:f>
        <x:v>1167224.0925903597</x:v>
      </x:c>
      <x:c r="D40" s="968">
        <x:f t="shared" si="7"/>
        <x:v>1661461.3809844551</x:v>
      </x:c>
      <x:c r="E40" s="968">
        <x:f t="shared" si="7"/>
        <x:v>1385976.9876818131</x:v>
      </x:c>
      <x:c r="F40" s="968">
        <x:f t="shared" si="7"/>
        <x:v>1268247.2675397228</x:v>
      </x:c>
      <x:c r="G40" s="968">
        <x:f t="shared" si="7"/>
        <x:v>1932411.6626244108</x:v>
      </x:c>
      <x:c r="H40" s="968">
        <x:f t="shared" si="7"/>
        <x:v>1182951.8889315131</x:v>
      </x:c>
      <x:c r="I40" s="968">
        <x:f t="shared" si="7"/>
        <x:v>1761351.4880221637</x:v>
      </x:c>
      <x:c r="J40" s="968">
        <x:f t="shared" si="7"/>
        <x:v>1590506.4137295533</x:v>
      </x:c>
      <x:c r="K40" s="968">
        <x:f t="shared" si="7"/>
        <x:v>2336635.0665726783</x:v>
      </x:c>
      <x:c r="L40" s="968">
        <x:f t="shared" si="7"/>
        <x:v>1655876.8497484154</x:v>
      </x:c>
      <x:c r="M40" s="968">
        <x:f t="shared" si="7"/>
        <x:v>1684315.3413506737</x:v>
      </x:c>
      <x:c r="O40" s="969"/>
      <x:c r="P40" s="970"/>
      <x:c r="R40" s="964">
        <x:f>+SUM(B40:M40)</x:f>
        <x:v>18562269.117157672</x:v>
      </x:c>
    </x:row>
    <x:row r="41" spans="1:18" ht="16.899999999999999" customHeight="1">
      <x:c r="A41" s="1023" t="s">
        <x:v>1020</x:v>
      </x:c>
      <x:c r="B41" s="958">
        <x:f>Summary!F5*0.01</x:f>
        <x:v>935310.6773819112</x:v>
      </x:c>
      <x:c r="C41" s="958">
        <x:f>Summary!G5*0.01</x:f>
        <x:v>1167224.0925903597</x:v>
      </x:c>
      <x:c r="D41" s="958">
        <x:f>Summary!H5*0.01</x:f>
        <x:v>1661461.3809844551</x:v>
      </x:c>
      <x:c r="E41" s="958">
        <x:f>Summary!I5*0.01</x:f>
        <x:v>1385976.9876818131</x:v>
      </x:c>
      <x:c r="F41" s="958">
        <x:f>Summary!J5*0.01</x:f>
        <x:v>1268247.2675397228</x:v>
      </x:c>
      <x:c r="G41" s="958">
        <x:f>Summary!K5*0.01</x:f>
        <x:v>1932411.6626244108</x:v>
      </x:c>
      <x:c r="H41" s="958">
        <x:f>Summary!L5*0.01</x:f>
        <x:v>1182951.8889315131</x:v>
      </x:c>
      <x:c r="I41" s="958">
        <x:f>Summary!M5*0.01</x:f>
        <x:v>1761351.4880221637</x:v>
      </x:c>
      <x:c r="J41" s="958">
        <x:f>Summary!N5*0.01</x:f>
        <x:v>1590506.4137295533</x:v>
      </x:c>
      <x:c r="K41" s="958">
        <x:f>Summary!O5*0.01</x:f>
        <x:v>2336635.0665726783</x:v>
      </x:c>
      <x:c r="L41" s="958">
        <x:f>Summary!P5*0.01</x:f>
        <x:v>1655876.8497484154</x:v>
      </x:c>
      <x:c r="M41" s="958">
        <x:f>Summary!Q5*0.01</x:f>
        <x:v>1684315.3413506737</x:v>
      </x:c>
      <x:c r="N41" s="1024"/>
      <x:c r="O41" s="962" t="s">
        <x:v>1166</x:v>
      </x:c>
      <x:c r="P41" s="963"/>
      <x:c r="R41" s="1025">
        <x:f>+R40-SUM(B41:M41)</x:f>
        <x:v>0</x:v>
      </x:c>
    </x:row>
    <x:row r="42" spans="1:18" ht="16.899999999999999" customHeight="1">
      <x:c r="L42" s="972"/>
      <x:c r="M42" s="972"/>
      <x:c r="O42" s="973"/>
      <x:c r="P42" s="974"/>
    </x:row>
    <x:row r="43" spans="1:18" s="1021" customFormat="1" ht="16.899999999999999" customHeight="1">
      <x:c r="A43" s="1019" t="s">
        <x:v>50</x:v>
      </x:c>
      <x:c r="B43" s="954"/>
      <x:c r="C43" s="954"/>
      <x:c r="D43" s="954"/>
      <x:c r="E43" s="954"/>
      <x:c r="F43" s="954"/>
      <x:c r="G43" s="954"/>
      <x:c r="H43" s="954"/>
      <x:c r="I43" s="954"/>
      <x:c r="J43" s="954"/>
      <x:c r="K43" s="954"/>
      <x:c r="L43" s="954"/>
      <x:c r="M43" s="954"/>
      <x:c r="N43" s="878"/>
      <x:c r="O43" s="953"/>
      <x:c r="P43" s="878"/>
      <x:c r="Q43" s="878"/>
      <x:c r="R43" s="1020"/>
    </x:row>
    <x:row r="44" spans="1:18" ht="16.899999999999999" customHeight="1">
      <x:c r="A44" s="1029" t="s">
        <x:v>51</x:v>
      </x:c>
      <x:c r="B44" s="975"/>
      <x:c r="C44" s="975"/>
      <x:c r="D44" s="975"/>
      <x:c r="E44" s="975"/>
      <x:c r="F44" s="975"/>
      <x:c r="G44" s="975"/>
      <x:c r="H44" s="975"/>
      <x:c r="I44" s="975"/>
      <x:c r="J44" s="975"/>
      <x:c r="K44" s="975"/>
      <x:c r="L44" s="975"/>
      <x:c r="M44" s="975"/>
      <x:c r="O44" s="953"/>
      <x:c r="P44" s="878"/>
    </x:row>
    <x:row r="45" spans="1:18" ht="16.899999999999999" customHeight="1">
      <x:c r="A45" s="1030" t="s">
        <x:v>1210</x:v>
      </x:c>
      <x:c r="B45" s="976">
        <x:f>+SUM(B46:B51)</x:f>
        <x:v>1197719.49</x:v>
      </x:c>
      <x:c r="C45" s="976">
        <x:f t="shared" ref="C45:M45" si="8">+SUM(C46:C51)</x:f>
        <x:v>1770719.49</x:v>
      </x:c>
      <x:c r="D45" s="976">
        <x:f t="shared" si="8"/>
        <x:v>1197719.49</x:v>
      </x:c>
      <x:c r="E45" s="976">
        <x:f t="shared" si="8"/>
        <x:v>2997719.4899999998</x:v>
      </x:c>
      <x:c r="F45" s="976">
        <x:f t="shared" si="8"/>
        <x:v>1197719.49</x:v>
      </x:c>
      <x:c r="G45" s="976">
        <x:f t="shared" si="8"/>
        <x:v>4077719.4899999998</x:v>
      </x:c>
      <x:c r="H45" s="976">
        <x:f t="shared" si="8"/>
        <x:v>1865901.23</x:v>
      </x:c>
      <x:c r="I45" s="976">
        <x:f t="shared" si="8"/>
        <x:v>1994901.23</x:v>
      </x:c>
      <x:c r="J45" s="976">
        <x:f t="shared" si="8"/>
        <x:v>2028055.4</x:v>
      </x:c>
      <x:c r="K45" s="976">
        <x:f t="shared" si="8"/>
        <x:v>1665901.23</x:v>
      </x:c>
      <x:c r="L45" s="976">
        <x:f t="shared" si="8"/>
        <x:v>1665901.23</x:v>
      </x:c>
      <x:c r="M45" s="976">
        <x:f t="shared" si="8"/>
        <x:v>1667101.23</x:v>
      </x:c>
      <x:c r="O45" s="977"/>
      <x:c r="P45" s="978"/>
      <x:c r="R45" s="964">
        <x:f>+SUM(B45:M45)</x:f>
        <x:v>23327078.490000002</x:v>
      </x:c>
    </x:row>
    <x:row r="46" spans="1:18" ht="16.899999999999999" customHeight="1">
      <x:c r="A46" s="1027" t="s">
        <x:v>52</x:v>
      </x:c>
      <x:c r="B46" s="958">
        <x:f>'4. Salary'!H46+'7. Commucation '!E46</x:f>
        <x:v>1109398.97</x:v>
      </x:c>
      <x:c r="C46" s="958">
        <x:f>'4. Salary'!I46+'7. Commucation '!F46</x:f>
        <x:v>1553398.97</x:v>
      </x:c>
      <x:c r="D46" s="958">
        <x:f>'4. Salary'!J46+'7. Commucation '!G46</x:f>
        <x:v>1109398.97</x:v>
      </x:c>
      <x:c r="E46" s="958">
        <x:f>'4. Salary'!K46+'7. Commucation '!H46</x:f>
        <x:v>2909398.9699999997</x:v>
      </x:c>
      <x:c r="F46" s="958">
        <x:f>'4. Salary'!L46+'7. Commucation '!I46</x:f>
        <x:v>1109398.97</x:v>
      </x:c>
      <x:c r="G46" s="958">
        <x:f>'4. Salary'!M46+'7. Commucation '!J46</x:f>
        <x:v>3989398.9699999997</x:v>
      </x:c>
      <x:c r="H46" s="958">
        <x:f>'4. Salary'!N46+'7. Commucation '!K46</x:f>
        <x:v>1529790.45</x:v>
      </x:c>
      <x:c r="I46" s="958">
        <x:f>'4. Salary'!O46+'7. Commucation '!L46</x:f>
        <x:v>1529790.45</x:v>
      </x:c>
      <x:c r="J46" s="958">
        <x:f>'4. Salary'!P46+'7. Commucation '!M46</x:f>
        <x:v>1529790.45</x:v>
      </x:c>
      <x:c r="K46" s="958">
        <x:f>'4. Salary'!Q46+'7. Commucation '!N46</x:f>
        <x:v>1529790.45</x:v>
      </x:c>
      <x:c r="L46" s="958">
        <x:f>'4. Salary'!R46+'7. Commucation '!O46</x:f>
        <x:v>1529790.45</x:v>
      </x:c>
      <x:c r="M46" s="958">
        <x:f>'4. Salary'!S46+'7. Commucation '!P46</x:f>
        <x:v>1529790.45</x:v>
      </x:c>
      <x:c r="O46" s="979" t="s">
        <x:v>1211</x:v>
      </x:c>
      <x:c r="P46" s="960"/>
      <x:c r="R46" s="1025">
        <x:f>+R45-SUM(B46:M51)</x:f>
        <x:v>0</x:v>
      </x:c>
    </x:row>
    <x:row r="47" spans="1:18" ht="16.899999999999999" customHeight="1">
      <x:c r="A47" s="1027" t="s">
        <x:v>53</x:v>
      </x:c>
      <x:c r="B47" s="958">
        <x:f>'4. Salary'!H47</x:f>
        <x:v>65338.86</x:v>
      </x:c>
      <x:c r="C47" s="958">
        <x:f>'4. Salary'!I47</x:f>
        <x:v>65338.86</x:v>
      </x:c>
      <x:c r="D47" s="958">
        <x:f>'4. Salary'!J47</x:f>
        <x:v>65338.86</x:v>
      </x:c>
      <x:c r="E47" s="958">
        <x:f>'4. Salary'!K47</x:f>
        <x:v>65338.86</x:v>
      </x:c>
      <x:c r="F47" s="958">
        <x:f>'4. Salary'!L47</x:f>
        <x:v>65338.86</x:v>
      </x:c>
      <x:c r="G47" s="958">
        <x:f>'4. Salary'!M47</x:f>
        <x:v>65338.86</x:v>
      </x:c>
      <x:c r="H47" s="958">
        <x:f>'4. Salary'!N47</x:f>
        <x:v>98008.290000000008</x:v>
      </x:c>
      <x:c r="I47" s="958">
        <x:f>'4. Salary'!O47</x:f>
        <x:v>98008.290000000008</x:v>
      </x:c>
      <x:c r="J47" s="958">
        <x:f>'4. Salary'!P47</x:f>
        <x:v>98008.290000000008</x:v>
      </x:c>
      <x:c r="K47" s="958">
        <x:f>'4. Salary'!Q47</x:f>
        <x:v>98008.290000000008</x:v>
      </x:c>
      <x:c r="L47" s="958">
        <x:f>'4. Salary'!R47</x:f>
        <x:v>98008.290000000008</x:v>
      </x:c>
      <x:c r="M47" s="958">
        <x:f>'4. Salary'!S47</x:f>
        <x:v>98008.290000000008</x:v>
      </x:c>
      <x:c r="O47" s="979" t="s">
        <x:v>1211</x:v>
      </x:c>
      <x:c r="P47" s="960"/>
    </x:row>
    <x:row r="48" spans="1:18" ht="16.899999999999999" customHeight="1">
      <x:c r="A48" s="1027" t="s">
        <x:v>54</x:v>
      </x:c>
      <x:c r="B48" s="958">
        <x:f>'4. Salary'!H48</x:f>
        <x:v>7801.66</x:v>
      </x:c>
      <x:c r="C48" s="958">
        <x:f>'4. Salary'!I48</x:f>
        <x:v>7801.66</x:v>
      </x:c>
      <x:c r="D48" s="958">
        <x:f>'4. Salary'!J48</x:f>
        <x:v>7801.66</x:v>
      </x:c>
      <x:c r="E48" s="958">
        <x:f>'4. Salary'!K48</x:f>
        <x:v>7801.66</x:v>
      </x:c>
      <x:c r="F48" s="958">
        <x:f>'4. Salary'!L48</x:f>
        <x:v>7801.66</x:v>
      </x:c>
      <x:c r="G48" s="958">
        <x:f>'4. Salary'!M48</x:f>
        <x:v>7801.66</x:v>
      </x:c>
      <x:c r="H48" s="958">
        <x:f>'4. Salary'!N48</x:f>
        <x:v>11702.49</x:v>
      </x:c>
      <x:c r="I48" s="958">
        <x:f>'4. Salary'!O48</x:f>
        <x:v>11702.49</x:v>
      </x:c>
      <x:c r="J48" s="958">
        <x:f>'4. Salary'!P48</x:f>
        <x:v>11702.49</x:v>
      </x:c>
      <x:c r="K48" s="958">
        <x:f>'4. Salary'!Q48</x:f>
        <x:v>11702.49</x:v>
      </x:c>
      <x:c r="L48" s="958">
        <x:f>'4. Salary'!R48</x:f>
        <x:v>11702.49</x:v>
      </x:c>
      <x:c r="M48" s="958">
        <x:f>'4. Salary'!S48</x:f>
        <x:v>11702.49</x:v>
      </x:c>
      <x:c r="O48" s="979" t="s">
        <x:v>1211</x:v>
      </x:c>
      <x:c r="P48" s="960"/>
    </x:row>
    <x:row r="49" spans="1:18" ht="16.899999999999999" customHeight="1">
      <x:c r="A49" s="1027" t="s">
        <x:v>55</x:v>
      </x:c>
      <x:c r="B49" s="958">
        <x:f>'5. Social Benefit'!D11</x:f>
        <x:v>15180</x:v>
      </x:c>
      <x:c r="C49" s="958">
        <x:f>'5. Social Benefit'!E11</x:f>
        <x:v>15180</x:v>
      </x:c>
      <x:c r="D49" s="958">
        <x:f>'5. Social Benefit'!F11</x:f>
        <x:v>15180</x:v>
      </x:c>
      <x:c r="E49" s="958">
        <x:f>'5. Social Benefit'!G11</x:f>
        <x:v>15180</x:v>
      </x:c>
      <x:c r="F49" s="958">
        <x:f>'5. Social Benefit'!H11</x:f>
        <x:v>15180</x:v>
      </x:c>
      <x:c r="G49" s="958">
        <x:f>'5. Social Benefit'!I11</x:f>
        <x:v>15180</x:v>
      </x:c>
      <x:c r="H49" s="958">
        <x:f>'5. Social Benefit'!J11</x:f>
        <x:v>22770</x:v>
      </x:c>
      <x:c r="I49" s="958">
        <x:f>'5. Social Benefit'!K11</x:f>
        <x:v>22770</x:v>
      </x:c>
      <x:c r="J49" s="958">
        <x:f>'5. Social Benefit'!L11</x:f>
        <x:v>22770</x:v>
      </x:c>
      <x:c r="K49" s="958">
        <x:f>'5. Social Benefit'!M11</x:f>
        <x:v>22770</x:v>
      </x:c>
      <x:c r="L49" s="958">
        <x:f>'5. Social Benefit'!N11</x:f>
        <x:v>22770</x:v>
      </x:c>
      <x:c r="M49" s="958">
        <x:f>'5. Social Benefit'!O11</x:f>
        <x:v>23805</x:v>
      </x:c>
      <x:c r="N49" s="1024"/>
      <x:c r="O49" s="959" t="s">
        <x:v>1213</x:v>
      </x:c>
      <x:c r="P49" s="960" t="s">
        <x:v>1185</x:v>
      </x:c>
    </x:row>
    <x:row r="50" spans="1:18" ht="16.899999999999999" customHeight="1">
      <x:c r="A50" s="1027" t="s">
        <x:v>56</x:v>
      </x:c>
      <x:c r="B50" s="958" t="str">
        <x:f>'5. Social Benefit'!G41</x:f>
        <x:v>-</x:v>
      </x:c>
      <x:c r="C50" s="958">
        <x:f>64500*2</x:f>
        <x:v>129000</x:v>
      </x:c>
      <x:c r="D50" s="958" t="str">
        <x:f>'5. Social Benefit'!I41</x:f>
        <x:v>-</x:v>
      </x:c>
      <x:c r="E50" s="958" t="str">
        <x:f>'5. Social Benefit'!J41</x:f>
        <x:v>-</x:v>
      </x:c>
      <x:c r="F50" s="958" t="str">
        <x:f>'5. Social Benefit'!K41</x:f>
        <x:v>-</x:v>
      </x:c>
      <x:c r="G50" s="958" t="str">
        <x:f>'5. Social Benefit'!L41</x:f>
        <x:v>-</x:v>
      </x:c>
      <x:c r="H50" s="958">
        <x:f>'5. Social Benefit'!M41</x:f>
        <x:v>3630</x:v>
      </x:c>
      <x:c r="I50" s="958">
        <x:f>'5. Social Benefit'!N41+129000</x:f>
        <x:v>132630</x:v>
      </x:c>
      <x:c r="J50" s="958">
        <x:f>'5. Social Benefit'!O41</x:f>
        <x:v>3630</x:v>
      </x:c>
      <x:c r="K50" s="958">
        <x:f>'5. Social Benefit'!P41</x:f>
        <x:v>3630</x:v>
      </x:c>
      <x:c r="L50" s="958">
        <x:f>'5. Social Benefit'!Q41</x:f>
        <x:v>3630</x:v>
      </x:c>
      <x:c r="M50" s="958">
        <x:f>'5. Social Benefit'!R41</x:f>
        <x:v>3795</x:v>
      </x:c>
      <x:c r="N50" s="1024"/>
      <x:c r="O50" s="959" t="s">
        <x:v>1214</x:v>
      </x:c>
      <x:c r="P50" s="960" t="s">
        <x:v>1185</x:v>
      </x:c>
    </x:row>
    <x:row r="51" spans="1:18" ht="16.899999999999999" customHeight="1">
      <x:c r="A51" s="1026" t="s">
        <x:v>57</x:v>
      </x:c>
      <x:c r="B51" s="961">
        <x:f>+'6. Social Benefit-2'!D43</x:f>
        <x:v>0</x:v>
      </x:c>
      <x:c r="C51" s="961">
        <x:f>+'6. Social Benefit-2'!E43</x:f>
        <x:v>0</x:v>
      </x:c>
      <x:c r="D51" s="961">
        <x:f>+'6. Social Benefit-2'!F43</x:f>
        <x:v>0</x:v>
      </x:c>
      <x:c r="E51" s="961">
        <x:f>+'6. Social Benefit-2'!G43</x:f>
        <x:v>0</x:v>
      </x:c>
      <x:c r="F51" s="961">
        <x:f>+'6. Social Benefit-2'!H43</x:f>
        <x:v>0</x:v>
      </x:c>
      <x:c r="G51" s="961">
        <x:f>+'6. Social Benefit-2'!I43</x:f>
        <x:v>0</x:v>
      </x:c>
      <x:c r="H51" s="961">
        <x:f>+'6. Social Benefit-2'!J43</x:f>
        <x:v>200000</x:v>
      </x:c>
      <x:c r="I51" s="961">
        <x:f>+'6. Social Benefit-2'!K43</x:f>
        <x:v>200000</x:v>
      </x:c>
      <x:c r="J51" s="961">
        <x:f>+'6. Social Benefit-2'!L43</x:f>
        <x:v>362154.17</x:v>
      </x:c>
      <x:c r="K51" s="961">
        <x:f>+'6. Social Benefit-2'!M43</x:f>
        <x:v>0</x:v>
      </x:c>
      <x:c r="L51" s="961">
        <x:f>+'6. Social Benefit-2'!N43</x:f>
        <x:v>0</x:v>
      </x:c>
      <x:c r="M51" s="961">
        <x:f>+'6. Social Benefit-2'!O43</x:f>
        <x:v>0</x:v>
      </x:c>
      <x:c r="N51" s="1024"/>
      <x:c r="O51" s="980" t="s">
        <x:v>1494</x:v>
      </x:c>
      <x:c r="P51" s="963"/>
    </x:row>
    <x:row r="52" spans="1:18" ht="16.899999999999999" customHeight="1">
      <x:c r="B52" s="964"/>
      <x:c r="C52" s="964"/>
      <x:c r="D52" s="964"/>
      <x:c r="E52" s="964"/>
      <x:c r="F52" s="964"/>
      <x:c r="G52" s="964"/>
      <x:c r="H52" s="964"/>
      <x:c r="I52" s="964"/>
      <x:c r="J52" s="964"/>
      <x:c r="K52" s="964"/>
      <x:c r="L52" s="964"/>
      <x:c r="M52" s="964"/>
      <x:c r="O52" s="965"/>
      <x:c r="P52" s="966"/>
    </x:row>
    <x:row r="53" spans="1:18" ht="16.899999999999999" customHeight="1">
      <x:c r="A53" s="1030" t="s">
        <x:v>944</x:v>
      </x:c>
      <x:c r="B53" s="968">
        <x:f>SUM(B54:B60)</x:f>
        <x:v>1051454.6468571429</x:v>
      </x:c>
      <x:c r="C53" s="968">
        <x:f t="shared" ref="C53:M53" si="9">SUM(C54:C60)</x:f>
        <x:v>1382690.3728571427</x:v>
      </x:c>
      <x:c r="D53" s="968">
        <x:f t="shared" si="9"/>
        <x:v>1492505.2428571428</x:v>
      </x:c>
      <x:c r="E53" s="968">
        <x:f t="shared" si="9"/>
        <x:v>1414130.3388571427</x:v>
      </x:c>
      <x:c r="F53" s="968">
        <x:f t="shared" si="9"/>
        <x:v>1405056.4068571429</x:v>
      </x:c>
      <x:c r="G53" s="968">
        <x:f t="shared" si="9"/>
        <x:v>1374505.2428571428</x:v>
      </x:c>
      <x:c r="H53" s="968">
        <x:f t="shared" si="9"/>
        <x:v>1382095.2428571428</x:v>
      </x:c>
      <x:c r="I53" s="968">
        <x:f t="shared" si="9"/>
        <x:v>1402636.1268571429</x:v>
      </x:c>
      <x:c r="J53" s="968">
        <x:f t="shared" si="9"/>
        <x:v>1382095.2428571428</x:v>
      </x:c>
      <x:c r="K53" s="968">
        <x:f t="shared" si="9"/>
        <x:v>1412539.7408571427</x:v>
      </x:c>
      <x:c r="L53" s="968">
        <x:f t="shared" si="9"/>
        <x:v>1382095.2428571428</x:v>
      </x:c>
      <x:c r="M53" s="968">
        <x:f t="shared" si="9"/>
        <x:v>1410390.2428571428</x:v>
      </x:c>
      <x:c r="O53" s="969"/>
      <x:c r="P53" s="970"/>
      <x:c r="R53" s="964">
        <x:f>+SUM(B53:M53)</x:f>
        <x:v>16492194.090285717</x:v>
      </x:c>
    </x:row>
    <x:row r="54" spans="1:18" ht="16.899999999999999" customHeight="1">
      <x:c r="A54" s="1023" t="s">
        <x:v>58</x:v>
      </x:c>
      <x:c r="B54" s="958">
        <x:f>'4. Salary'!H50</x:f>
        <x:v>749561.63</x:v>
      </x:c>
      <x:c r="C54" s="958">
        <x:f>'4. Salary'!I50</x:f>
        <x:v>1053059.8599999999</x:v>
      </x:c>
      <x:c r="D54" s="958">
        <x:f>'4. Salary'!J50</x:f>
        <x:v>1053059.8599999999</x:v>
      </x:c>
      <x:c r="E54" s="958">
        <x:f>'4. Salary'!K50</x:f>
        <x:v>1053059.8599999999</x:v>
      </x:c>
      <x:c r="F54" s="958">
        <x:f>'4. Salary'!L50</x:f>
        <x:v>1053059.8599999999</x:v>
      </x:c>
      <x:c r="G54" s="958">
        <x:f>'4. Salary'!M50</x:f>
        <x:v>1053059.8599999999</x:v>
      </x:c>
      <x:c r="H54" s="958">
        <x:f>'4. Salary'!N50</x:f>
        <x:v>1053059.8599999999</x:v>
      </x:c>
      <x:c r="I54" s="958">
        <x:f>'4. Salary'!O50</x:f>
        <x:v>1053059.8599999999</x:v>
      </x:c>
      <x:c r="J54" s="958">
        <x:f>'4. Salary'!P50</x:f>
        <x:v>1053059.8599999999</x:v>
      </x:c>
      <x:c r="K54" s="958">
        <x:f>'4. Salary'!Q50</x:f>
        <x:v>1053059.8599999999</x:v>
      </x:c>
      <x:c r="L54" s="958">
        <x:f>'4. Salary'!R50</x:f>
        <x:v>1053059.8599999999</x:v>
      </x:c>
      <x:c r="M54" s="958">
        <x:f>'4. Salary'!S50</x:f>
        <x:v>1053059.8599999999</x:v>
      </x:c>
      <x:c r="O54" s="979" t="s">
        <x:v>1216</x:v>
      </x:c>
      <x:c r="P54" s="960" t="s">
        <x:v>1215</x:v>
      </x:c>
      <x:c r="R54" s="1025">
        <x:f>+R53-SUM(B54:M60)</x:f>
        <x:v>0</x:v>
      </x:c>
    </x:row>
    <x:row r="55" spans="1:18" ht="16.899999999999999" customHeight="1">
      <x:c r="A55" s="1023" t="s">
        <x:v>53</x:v>
      </x:c>
      <x:c r="B55" s="958">
        <x:f>'4. Salary'!H51</x:f>
        <x:v>125551.62</x:v>
      </x:c>
      <x:c r="C55" s="958">
        <x:f>'4. Salary'!I51</x:f>
        <x:v>163152.92000000001</x:v>
      </x:c>
      <x:c r="D55" s="958">
        <x:f>'4. Salary'!J51</x:f>
        <x:v>176387.54</x:v>
      </x:c>
      <x:c r="E55" s="958">
        <x:f>'4. Salary'!K51</x:f>
        <x:v>176387.54</x:v>
      </x:c>
      <x:c r="F55" s="958">
        <x:f>'4. Salary'!L51</x:f>
        <x:v>176387.54</x:v>
      </x:c>
      <x:c r="G55" s="958">
        <x:f>'4. Salary'!M51</x:f>
        <x:v>176387.54</x:v>
      </x:c>
      <x:c r="H55" s="958">
        <x:f>'4. Salary'!N51</x:f>
        <x:v>176387.54</x:v>
      </x:c>
      <x:c r="I55" s="958">
        <x:f>'4. Salary'!O51</x:f>
        <x:v>176387.54</x:v>
      </x:c>
      <x:c r="J55" s="958">
        <x:f>'4. Salary'!P51</x:f>
        <x:v>176387.54</x:v>
      </x:c>
      <x:c r="K55" s="958">
        <x:f>'4. Salary'!Q51</x:f>
        <x:v>176387.54</x:v>
      </x:c>
      <x:c r="L55" s="958">
        <x:f>'4. Salary'!R51</x:f>
        <x:v>176387.54</x:v>
      </x:c>
      <x:c r="M55" s="958">
        <x:f>'4. Salary'!S51</x:f>
        <x:v>176387.54</x:v>
      </x:c>
      <x:c r="O55" s="979" t="s">
        <x:v>1216</x:v>
      </x:c>
      <x:c r="P55" s="960" t="s">
        <x:v>1215</x:v>
      </x:c>
    </x:row>
    <x:row r="56" spans="1:18" ht="16.899999999999999" customHeight="1">
      <x:c r="A56" s="1023" t="s">
        <x:v>54</x:v>
      </x:c>
      <x:c r="B56" s="958">
        <x:f>'4. Salary'!H52</x:f>
        <x:v>14991.25</x:v>
      </x:c>
      <x:c r="C56" s="958">
        <x:f>'4. Salary'!I52</x:f>
        <x:v>19480.95</x:v>
      </x:c>
      <x:c r="D56" s="958">
        <x:f>'4. Salary'!J52</x:f>
        <x:v>21061.200000000001</x:v>
      </x:c>
      <x:c r="E56" s="958">
        <x:f>'4. Salary'!K52</x:f>
        <x:v>21061.200000000001</x:v>
      </x:c>
      <x:c r="F56" s="958">
        <x:f>'4. Salary'!L52</x:f>
        <x:v>21061.200000000001</x:v>
      </x:c>
      <x:c r="G56" s="958">
        <x:f>'4. Salary'!M52</x:f>
        <x:v>21061.200000000001</x:v>
      </x:c>
      <x:c r="H56" s="958">
        <x:f>'4. Salary'!N52</x:f>
        <x:v>21061.200000000001</x:v>
      </x:c>
      <x:c r="I56" s="958">
        <x:f>'4. Salary'!O52</x:f>
        <x:v>21061.200000000001</x:v>
      </x:c>
      <x:c r="J56" s="958">
        <x:f>'4. Salary'!P52</x:f>
        <x:v>21061.200000000001</x:v>
      </x:c>
      <x:c r="K56" s="958">
        <x:f>'4. Salary'!Q52</x:f>
        <x:v>21061.200000000001</x:v>
      </x:c>
      <x:c r="L56" s="958">
        <x:f>'4. Salary'!R52</x:f>
        <x:v>21061.200000000001</x:v>
      </x:c>
      <x:c r="M56" s="958">
        <x:f>'4. Salary'!S52</x:f>
        <x:v>21061.200000000001</x:v>
      </x:c>
      <x:c r="O56" s="979" t="s">
        <x:v>1216</x:v>
      </x:c>
      <x:c r="P56" s="960" t="s">
        <x:v>1215</x:v>
      </x:c>
    </x:row>
    <x:row r="57" spans="1:18" ht="16.899999999999999" customHeight="1">
      <x:c r="A57" s="1023" t="s">
        <x:v>55</x:v>
      </x:c>
      <x:c r="B57" s="958">
        <x:f>'5. Social Benefit'!D12</x:f>
        <x:v>75900</x:v>
      </x:c>
      <x:c r="C57" s="958">
        <x:f>'5. Social Benefit'!E12</x:f>
        <x:v>83490</x:v>
      </x:c>
      <x:c r="D57" s="958">
        <x:f>'5. Social Benefit'!F12</x:f>
        <x:v>83490</x:v>
      </x:c>
      <x:c r="E57" s="958">
        <x:f>'5. Social Benefit'!G12</x:f>
        <x:v>83490</x:v>
      </x:c>
      <x:c r="F57" s="958">
        <x:f>'5. Social Benefit'!H12</x:f>
        <x:v>83490</x:v>
      </x:c>
      <x:c r="G57" s="958">
        <x:f>'5. Social Benefit'!I12</x:f>
        <x:v>83490</x:v>
      </x:c>
      <x:c r="H57" s="958">
        <x:f>'5. Social Benefit'!J12</x:f>
        <x:v>91080</x:v>
      </x:c>
      <x:c r="I57" s="958">
        <x:f>'5. Social Benefit'!K12</x:f>
        <x:v>91080</x:v>
      </x:c>
      <x:c r="J57" s="958">
        <x:f>'5. Social Benefit'!L12</x:f>
        <x:v>91080</x:v>
      </x:c>
      <x:c r="K57" s="958">
        <x:f>'5. Social Benefit'!M12</x:f>
        <x:v>91080</x:v>
      </x:c>
      <x:c r="L57" s="958">
        <x:f>'5. Social Benefit'!N12</x:f>
        <x:v>91080</x:v>
      </x:c>
      <x:c r="M57" s="958">
        <x:f>'5. Social Benefit'!O12</x:f>
        <x:v>95220</x:v>
      </x:c>
      <x:c r="N57" s="1024"/>
      <x:c r="O57" s="959" t="s">
        <x:v>1221</x:v>
      </x:c>
      <x:c r="P57" s="960" t="s">
        <x:v>1185</x:v>
      </x:c>
    </x:row>
    <x:row r="58" spans="1:18" ht="16.899999999999999" customHeight="1">
      <x:c r="A58" s="1023" t="s">
        <x:v>59</x:v>
      </x:c>
      <x:c r="B58" s="958">
        <x:f>'5. Social Benefit'!G46</x:f>
        <x:v>35876.642857142855</x:v>
      </x:c>
      <x:c r="C58" s="958">
        <x:f>'5. Social Benefit'!H46</x:f>
        <x:v>39506.642857142855</x:v>
      </x:c>
      <x:c r="D58" s="958">
        <x:f>'5. Social Benefit'!I46</x:f>
        <x:v>39506.642857142855</x:v>
      </x:c>
      <x:c r="E58" s="958">
        <x:f>'5. Social Benefit'!J46</x:f>
        <x:v>39506.642857142855</x:v>
      </x:c>
      <x:c r="F58" s="958">
        <x:f>'5. Social Benefit'!K46</x:f>
        <x:v>39506.642857142855</x:v>
      </x:c>
      <x:c r="G58" s="958">
        <x:f>'5. Social Benefit'!L46</x:f>
        <x:v>39506.642857142855</x:v>
      </x:c>
      <x:c r="H58" s="958">
        <x:f>'5. Social Benefit'!M46</x:f>
        <x:v>39506.642857142855</x:v>
      </x:c>
      <x:c r="I58" s="958">
        <x:f>'5. Social Benefit'!N46</x:f>
        <x:v>39506.642857142855</x:v>
      </x:c>
      <x:c r="J58" s="958">
        <x:f>'5. Social Benefit'!O46</x:f>
        <x:v>39506.642857142855</x:v>
      </x:c>
      <x:c r="K58" s="958">
        <x:f>'5. Social Benefit'!P46</x:f>
        <x:v>39506.642857142855</x:v>
      </x:c>
      <x:c r="L58" s="958">
        <x:f>'5. Social Benefit'!Q46</x:f>
        <x:v>39506.642857142855</x:v>
      </x:c>
      <x:c r="M58" s="958">
        <x:f>'5. Social Benefit'!R46</x:f>
        <x:v>40661.642857142855</x:v>
      </x:c>
      <x:c r="N58" s="1024"/>
      <x:c r="O58" s="959" t="s">
        <x:v>1219</x:v>
      </x:c>
      <x:c r="P58" s="960" t="s">
        <x:v>1185</x:v>
      </x:c>
    </x:row>
    <x:row r="59" spans="1:18" ht="16.899999999999999" customHeight="1">
      <x:c r="A59" s="1023" t="s">
        <x:v>60</x:v>
      </x:c>
      <x:c r="B59" s="958">
        <x:f>'6. Social Benefit-2'!D17</x:f>
        <x:v>1000</x:v>
      </x:c>
      <x:c r="C59" s="958">
        <x:f>'6. Social Benefit-2'!E17</x:f>
        <x:v>1000</x:v>
      </x:c>
      <x:c r="D59" s="958">
        <x:f>'6. Social Benefit-2'!F17</x:f>
        <x:v>73000</x:v>
      </x:c>
      <x:c r="E59" s="958">
        <x:f>'6. Social Benefit-2'!G17</x:f>
        <x:v>1000</x:v>
      </x:c>
      <x:c r="F59" s="958">
        <x:f>'6. Social Benefit-2'!H17</x:f>
        <x:v>1000</x:v>
      </x:c>
      <x:c r="G59" s="958">
        <x:f>'6. Social Benefit-2'!I17</x:f>
        <x:v>1000</x:v>
      </x:c>
      <x:c r="H59" s="958">
        <x:f>'6. Social Benefit-2'!J17</x:f>
        <x:v>1000</x:v>
      </x:c>
      <x:c r="I59" s="958">
        <x:f>'6. Social Benefit-2'!K17</x:f>
        <x:v>1000</x:v>
      </x:c>
      <x:c r="J59" s="958">
        <x:f>'6. Social Benefit-2'!L17</x:f>
        <x:v>1000</x:v>
      </x:c>
      <x:c r="K59" s="958">
        <x:f>'6. Social Benefit-2'!M17</x:f>
        <x:v>1000</x:v>
      </x:c>
      <x:c r="L59" s="958">
        <x:f>'6. Social Benefit-2'!N17</x:f>
        <x:v>1000</x:v>
      </x:c>
      <x:c r="M59" s="958">
        <x:f>'6. Social Benefit-2'!O17</x:f>
        <x:v>1000</x:v>
      </x:c>
      <x:c r="N59" s="1024"/>
      <x:c r="O59" s="959" t="s">
        <x:v>1218</x:v>
      </x:c>
      <x:c r="P59" s="960" t="s">
        <x:v>1185</x:v>
      </x:c>
    </x:row>
    <x:row r="60" spans="1:18" ht="16.899999999999999" customHeight="1">
      <x:c r="A60" s="1026" t="s">
        <x:v>57</x:v>
      </x:c>
      <x:c r="B60" s="961">
        <x:f>+'6. Social Benefit-2'!D44</x:f>
        <x:v>48573.504000000001</x:v>
      </x:c>
      <x:c r="C60" s="961">
        <x:f>+'6. Social Benefit-2'!E44</x:f>
        <x:v>23000</x:v>
      </x:c>
      <x:c r="D60" s="961">
        <x:f>+'6. Social Benefit-2'!F44</x:f>
        <x:v>46000</x:v>
      </x:c>
      <x:c r="E60" s="961">
        <x:f>+'6. Social Benefit-2'!G44</x:f>
        <x:v>39625.095999999998</x:v>
      </x:c>
      <x:c r="F60" s="961">
        <x:f>+'6. Social Benefit-2'!H44</x:f>
        <x:v>30551.163999999997</x:v>
      </x:c>
      <x:c r="G60" s="961">
        <x:f>+'6. Social Benefit-2'!I44</x:f>
        <x:v>0</x:v>
      </x:c>
      <x:c r="H60" s="961">
        <x:f>+'6. Social Benefit-2'!J44</x:f>
        <x:v>0</x:v>
      </x:c>
      <x:c r="I60" s="961">
        <x:f>+'6. Social Benefit-2'!K44</x:f>
        <x:v>20540.883999999998</x:v>
      </x:c>
      <x:c r="J60" s="961">
        <x:f>+'6. Social Benefit-2'!L44</x:f>
        <x:v>0</x:v>
      </x:c>
      <x:c r="K60" s="961">
        <x:f>+'6. Social Benefit-2'!M44</x:f>
        <x:v>30444.497999999996</x:v>
      </x:c>
      <x:c r="L60" s="961">
        <x:f>+'6. Social Benefit-2'!N44</x:f>
        <x:v>0</x:v>
      </x:c>
      <x:c r="M60" s="961">
        <x:f>+'6. Social Benefit-2'!O44</x:f>
        <x:v>23000</x:v>
      </x:c>
      <x:c r="N60" s="1024"/>
      <x:c r="O60" s="962"/>
      <x:c r="P60" s="963" t="s">
        <x:v>1185</x:v>
      </x:c>
    </x:row>
    <x:row r="61" spans="1:18" ht="16.899999999999999" customHeight="1">
      <x:c r="B61" s="964"/>
      <x:c r="C61" s="964"/>
      <x:c r="D61" s="964"/>
      <x:c r="E61" s="964"/>
      <x:c r="F61" s="964"/>
      <x:c r="G61" s="964"/>
      <x:c r="H61" s="964"/>
      <x:c r="I61" s="964"/>
      <x:c r="J61" s="964"/>
      <x:c r="K61" s="964"/>
      <x:c r="L61" s="964"/>
      <x:c r="M61" s="964"/>
      <x:c r="O61" s="965"/>
      <x:c r="P61" s="966"/>
    </x:row>
    <x:row r="62" spans="1:18" ht="16.899999999999999" customHeight="1">
      <x:c r="A62" s="1022" t="s">
        <x:v>61</x:v>
      </x:c>
      <x:c r="B62" s="968">
        <x:f>SUM(B63:B69)</x:f>
        <x:v>1119618.598</x:v>
      </x:c>
      <x:c r="C62" s="968">
        <x:f t="shared" ref="C62:M62" si="10">SUM(C63:C69)</x:f>
        <x:v>1351355.548</x:v>
      </x:c>
      <x:c r="D62" s="968">
        <x:f t="shared" si="10"/>
        <x:v>1403919.95</x:v>
      </x:c>
      <x:c r="E62" s="968">
        <x:f t="shared" si="10"/>
        <x:v>1367310.55</x:v>
      </x:c>
      <x:c r="F62" s="968">
        <x:f t="shared" si="10"/>
        <x:v>1385161.236</x:v>
      </x:c>
      <x:c r="G62" s="968">
        <x:f t="shared" si="10"/>
        <x:v>1331919.95</x:v>
      </x:c>
      <x:c r="H62" s="968">
        <x:f t="shared" si="10"/>
        <x:v>1595132.5928571427</x:v>
      </x:c>
      <x:c r="I62" s="968">
        <x:f t="shared" si="10"/>
        <x:v>1588779.9899999998</x:v>
      </x:c>
      <x:c r="J62" s="968">
        <x:f t="shared" si="10"/>
        <x:v>1542014.9499999997</x:v>
      </x:c>
      <x:c r="K62" s="968">
        <x:f t="shared" si="10"/>
        <x:v>1663250.3139999998</x:v>
      </x:c>
      <x:c r="L62" s="968">
        <x:f t="shared" si="10"/>
        <x:v>1589211.0079999997</x:v>
      </x:c>
      <x:c r="M62" s="968">
        <x:f t="shared" si="10"/>
        <x:v>1547819.9499999997</x:v>
      </x:c>
      <x:c r="O62" s="969"/>
      <x:c r="P62" s="970"/>
      <x:c r="R62" s="964">
        <x:f>+SUM(B62:M62)</x:f>
        <x:v>17485494.636857141</x:v>
      </x:c>
    </x:row>
    <x:row r="63" spans="1:18" ht="16.899999999999999" customHeight="1">
      <x:c r="A63" s="1023" t="s">
        <x:v>58</x:v>
      </x:c>
      <x:c r="B63" s="958">
        <x:f>'4. Salary'!H54</x:f>
        <x:v>827176</x:v>
      </x:c>
      <x:c r="C63" s="958">
        <x:f>'4. Salary'!I54</x:f>
        <x:v>1022323.33</x:v>
      </x:c>
      <x:c r="D63" s="958">
        <x:f>'4. Salary'!J54</x:f>
        <x:v>1022323.33</x:v>
      </x:c>
      <x:c r="E63" s="958">
        <x:f>'4. Salary'!K54</x:f>
        <x:v>1022323.33</x:v>
      </x:c>
      <x:c r="F63" s="958">
        <x:f>'4. Salary'!L54</x:f>
        <x:v>1022323.33</x:v>
      </x:c>
      <x:c r="G63" s="958">
        <x:f>'4. Salary'!M54</x:f>
        <x:v>1022323.33</x:v>
      </x:c>
      <x:c r="H63" s="958">
        <x:f>'4. Salary'!N54</x:f>
        <x:v>1180348.5899999999</x:v>
      </x:c>
      <x:c r="I63" s="958">
        <x:f>'4. Salary'!O54</x:f>
        <x:v>1180348.5899999999</x:v>
      </x:c>
      <x:c r="J63" s="958">
        <x:f>'4. Salary'!P54</x:f>
        <x:v>1180348.5899999999</x:v>
      </x:c>
      <x:c r="K63" s="958">
        <x:f>'4. Salary'!Q54</x:f>
        <x:v>1180348.5899999999</x:v>
      </x:c>
      <x:c r="L63" s="958">
        <x:f>'4. Salary'!R54</x:f>
        <x:v>1180348.5899999999</x:v>
      </x:c>
      <x:c r="M63" s="958">
        <x:f>'4. Salary'!S54</x:f>
        <x:v>1180348.5899999999</x:v>
      </x:c>
      <x:c r="O63" s="979" t="s">
        <x:v>1217</x:v>
      </x:c>
      <x:c r="P63" s="960" t="s">
        <x:v>1215</x:v>
      </x:c>
      <x:c r="R63" s="1025">
        <x:f>+R62-SUM(B63:M69)</x:f>
        <x:v>0</x:v>
      </x:c>
    </x:row>
    <x:row r="64" spans="1:18" ht="16.899999999999999" customHeight="1">
      <x:c r="A64" s="1023" t="s">
        <x:v>53</x:v>
      </x:c>
      <x:c r="B64" s="958">
        <x:f>'4. Salary'!H55</x:f>
        <x:v>138552</x:v>
      </x:c>
      <x:c r="C64" s="958">
        <x:f>'4. Salary'!I55</x:f>
        <x:v>171239.15999999997</x:v>
      </x:c>
      <x:c r="D64" s="958">
        <x:f>'4. Salary'!J55</x:f>
        <x:v>171239.15999999997</x:v>
      </x:c>
      <x:c r="E64" s="958">
        <x:f>'4. Salary'!K55</x:f>
        <x:v>171239.15999999997</x:v>
      </x:c>
      <x:c r="F64" s="958">
        <x:f>'4. Salary'!L55</x:f>
        <x:v>171239.15999999997</x:v>
      </x:c>
      <x:c r="G64" s="958">
        <x:f>'4. Salary'!M55</x:f>
        <x:v>171239.15999999997</x:v>
      </x:c>
      <x:c r="H64" s="958">
        <x:f>'4. Salary'!N55</x:f>
        <x:v>197708.39999999997</x:v>
      </x:c>
      <x:c r="I64" s="958">
        <x:f>'4. Salary'!O55</x:f>
        <x:v>197708.39999999997</x:v>
      </x:c>
      <x:c r="J64" s="958">
        <x:f>'4. Salary'!P55</x:f>
        <x:v>197708.39999999997</x:v>
      </x:c>
      <x:c r="K64" s="958">
        <x:f>'4. Salary'!Q55</x:f>
        <x:v>197708.39999999997</x:v>
      </x:c>
      <x:c r="L64" s="958">
        <x:f>'4. Salary'!R55</x:f>
        <x:v>197708.39999999997</x:v>
      </x:c>
      <x:c r="M64" s="958">
        <x:f>'4. Salary'!S55</x:f>
        <x:v>197708.39999999997</x:v>
      </x:c>
      <x:c r="O64" s="979" t="s">
        <x:v>1217</x:v>
      </x:c>
      <x:c r="P64" s="960" t="s">
        <x:v>1215</x:v>
      </x:c>
    </x:row>
    <x:row r="65" spans="1:18" ht="16.899999999999999" customHeight="1">
      <x:c r="A65" s="1023" t="s">
        <x:v>54</x:v>
      </x:c>
      <x:c r="B65" s="958">
        <x:f>'4. Salary'!H56</x:f>
        <x:v>16544</x:v>
      </x:c>
      <x:c r="C65" s="958">
        <x:f>'4. Salary'!I56</x:f>
        <x:v>20446.460000000003</x:v>
      </x:c>
      <x:c r="D65" s="958">
        <x:f>'4. Salary'!J56</x:f>
        <x:v>20446.460000000003</x:v>
      </x:c>
      <x:c r="E65" s="958">
        <x:f>'4. Salary'!K56</x:f>
        <x:v>20446.460000000003</x:v>
      </x:c>
      <x:c r="F65" s="958">
        <x:f>'4. Salary'!L56</x:f>
        <x:v>20446.460000000003</x:v>
      </x:c>
      <x:c r="G65" s="958">
        <x:f>'4. Salary'!M56</x:f>
        <x:v>20446.460000000003</x:v>
      </x:c>
      <x:c r="H65" s="958">
        <x:f>'4. Salary'!N56</x:f>
        <x:v>23606.960000000003</x:v>
      </x:c>
      <x:c r="I65" s="958">
        <x:f>'4. Salary'!O56</x:f>
        <x:v>23606.960000000003</x:v>
      </x:c>
      <x:c r="J65" s="958">
        <x:f>'4. Salary'!P56</x:f>
        <x:v>23606.960000000003</x:v>
      </x:c>
      <x:c r="K65" s="958">
        <x:f>'4. Salary'!Q56</x:f>
        <x:v>23606.960000000003</x:v>
      </x:c>
      <x:c r="L65" s="958">
        <x:f>'4. Salary'!R56</x:f>
        <x:v>23606.960000000003</x:v>
      </x:c>
      <x:c r="M65" s="958">
        <x:f>'4. Salary'!S56</x:f>
        <x:v>23606.960000000003</x:v>
      </x:c>
      <x:c r="O65" s="979" t="s">
        <x:v>1217</x:v>
      </x:c>
      <x:c r="P65" s="960" t="s">
        <x:v>1215</x:v>
      </x:c>
    </x:row>
    <x:row r="66" spans="1:18" ht="16.899999999999999" customHeight="1">
      <x:c r="A66" s="1023" t="s">
        <x:v>55</x:v>
      </x:c>
      <x:c r="B66" s="958">
        <x:f>'5. Social Benefit'!D13</x:f>
        <x:v>83490</x:v>
      </x:c>
      <x:c r="C66" s="958">
        <x:f>'5. Social Benefit'!E13</x:f>
        <x:v>83490</x:v>
      </x:c>
      <x:c r="D66" s="958">
        <x:f>'5. Social Benefit'!F13</x:f>
        <x:v>83490</x:v>
      </x:c>
      <x:c r="E66" s="958">
        <x:f>'5. Social Benefit'!G13</x:f>
        <x:v>83490</x:v>
      </x:c>
      <x:c r="F66" s="958">
        <x:f>'5. Social Benefit'!H13</x:f>
        <x:v>83490</x:v>
      </x:c>
      <x:c r="G66" s="958">
        <x:f>'5. Social Benefit'!I13</x:f>
        <x:v>83490</x:v>
      </x:c>
      <x:c r="H66" s="958">
        <x:f>'5. Social Benefit'!J13</x:f>
        <x:v>83490</x:v>
      </x:c>
      <x:c r="I66" s="958">
        <x:f>'5. Social Benefit'!K13</x:f>
        <x:v>98670</x:v>
      </x:c>
      <x:c r="J66" s="958">
        <x:f>'5. Social Benefit'!L13</x:f>
        <x:v>98670</x:v>
      </x:c>
      <x:c r="K66" s="958">
        <x:f>'5. Social Benefit'!M13</x:f>
        <x:v>98670</x:v>
      </x:c>
      <x:c r="L66" s="958">
        <x:f>'5. Social Benefit'!N13</x:f>
        <x:v>98670</x:v>
      </x:c>
      <x:c r="M66" s="958">
        <x:f>'5. Social Benefit'!O13</x:f>
        <x:v>103155</x:v>
      </x:c>
      <x:c r="N66" s="1024"/>
      <x:c r="O66" s="959" t="s">
        <x:v>1220</x:v>
      </x:c>
      <x:c r="P66" s="960" t="s">
        <x:v>1185</x:v>
      </x:c>
    </x:row>
    <x:row r="67" spans="1:18" ht="16.899999999999999" customHeight="1">
      <x:c r="A67" s="1023" t="s">
        <x:v>59</x:v>
      </x:c>
      <x:c r="B67" s="958">
        <x:f>'5. Social Benefit'!G47</x:f>
        <x:v>33421</x:v>
      </x:c>
      <x:c r="C67" s="958">
        <x:f>'5. Social Benefit'!H47</x:f>
        <x:v>33421</x:v>
      </x:c>
      <x:c r="D67" s="958">
        <x:f>'5. Social Benefit'!I47</x:f>
        <x:v>33421</x:v>
      </x:c>
      <x:c r="E67" s="958">
        <x:f>'5. Social Benefit'!J47</x:f>
        <x:v>33421</x:v>
      </x:c>
      <x:c r="F67" s="958">
        <x:f>'5. Social Benefit'!K47</x:f>
        <x:v>33421</x:v>
      </x:c>
      <x:c r="G67" s="958">
        <x:f>'5. Social Benefit'!L47</x:f>
        <x:v>33421</x:v>
      </x:c>
      <x:c r="H67" s="958">
        <x:f>'5. Social Benefit'!M47</x:f>
        <x:v>33421</x:v>
      </x:c>
      <x:c r="I67" s="958">
        <x:f>'5. Social Benefit'!N47</x:f>
        <x:v>40681</x:v>
      </x:c>
      <x:c r="J67" s="958">
        <x:f>'5. Social Benefit'!O47</x:f>
        <x:v>40681</x:v>
      </x:c>
      <x:c r="K67" s="958">
        <x:f>'5. Social Benefit'!P47</x:f>
        <x:v>40681</x:v>
      </x:c>
      <x:c r="L67" s="958">
        <x:f>'5. Social Benefit'!Q47</x:f>
        <x:v>40681</x:v>
      </x:c>
      <x:c r="M67" s="958">
        <x:f>'5. Social Benefit'!R47</x:f>
        <x:v>42001</x:v>
      </x:c>
      <x:c r="N67" s="1024"/>
      <x:c r="O67" s="959" t="s">
        <x:v>1219</x:v>
      </x:c>
      <x:c r="P67" s="960" t="s">
        <x:v>1185</x:v>
      </x:c>
    </x:row>
    <x:row r="68" spans="1:18" ht="16.899999999999999" customHeight="1">
      <x:c r="A68" s="1023" t="s">
        <x:v>60</x:v>
      </x:c>
      <x:c r="B68" s="958">
        <x:f>'6. Social Benefit-2'!D18</x:f>
        <x:v>1000</x:v>
      </x:c>
      <x:c r="C68" s="958">
        <x:f>'6. Social Benefit-2'!E18</x:f>
        <x:v>1000</x:v>
      </x:c>
      <x:c r="D68" s="958">
        <x:f>'6. Social Benefit-2'!F18</x:f>
        <x:v>73000</x:v>
      </x:c>
      <x:c r="E68" s="958">
        <x:f>'6. Social Benefit-2'!G18</x:f>
        <x:v>1000</x:v>
      </x:c>
      <x:c r="F68" s="958">
        <x:f>'6. Social Benefit-2'!H18</x:f>
        <x:v>1000</x:v>
      </x:c>
      <x:c r="G68" s="958">
        <x:f>'6. Social Benefit-2'!I18</x:f>
        <x:v>1000</x:v>
      </x:c>
      <x:c r="H68" s="958">
        <x:f>'5. Social Benefit'!M48</x:f>
        <x:v>76557.642857142855</x:v>
      </x:c>
      <x:c r="I68" s="958">
        <x:f>'6. Social Benefit-2'!K18</x:f>
        <x:v>1000</x:v>
      </x:c>
      <x:c r="J68" s="958">
        <x:f>'6. Social Benefit-2'!L18</x:f>
        <x:v>1000</x:v>
      </x:c>
      <x:c r="K68" s="958">
        <x:f>'6. Social Benefit-2'!M18</x:f>
        <x:v>1000</x:v>
      </x:c>
      <x:c r="L68" s="958">
        <x:f>'6. Social Benefit-2'!N18</x:f>
        <x:v>1000</x:v>
      </x:c>
      <x:c r="M68" s="958">
        <x:f>'6. Social Benefit-2'!O18</x:f>
        <x:v>1000</x:v>
      </x:c>
      <x:c r="N68" s="1024"/>
      <x:c r="O68" s="959" t="s">
        <x:v>1218</x:v>
      </x:c>
      <x:c r="P68" s="960" t="s">
        <x:v>1185</x:v>
      </x:c>
    </x:row>
    <x:row r="69" spans="1:18" ht="16.899999999999999" customHeight="1">
      <x:c r="A69" s="1026" t="s">
        <x:v>57</x:v>
      </x:c>
      <x:c r="B69" s="961">
        <x:f>+'6. Social Benefit-2'!D45</x:f>
        <x:v>19435.597999999998</x:v>
      </x:c>
      <x:c r="C69" s="961">
        <x:f>+'6. Social Benefit-2'!E45</x:f>
        <x:v>19435.597999999998</x:v>
      </x:c>
      <x:c r="D69" s="961">
        <x:f>+'6. Social Benefit-2'!F45</x:f>
        <x:v>0</x:v>
      </x:c>
      <x:c r="E69" s="961">
        <x:f>+'6. Social Benefit-2'!G45</x:f>
        <x:v>35390.6</x:v>
      </x:c>
      <x:c r="F69" s="961">
        <x:f>+'6. Social Benefit-2'!H45</x:f>
        <x:v>53241.285999999993</x:v>
      </x:c>
      <x:c r="G69" s="961">
        <x:f>+'6. Social Benefit-2'!I45</x:f>
        <x:v>0</x:v>
      </x:c>
      <x:c r="H69" s="961">
        <x:f>+'6. Social Benefit-2'!J45</x:f>
        <x:v>0</x:v>
      </x:c>
      <x:c r="I69" s="961">
        <x:f>+'6. Social Benefit-2'!K45</x:f>
        <x:v>46765.039999999994</x:v>
      </x:c>
      <x:c r="J69" s="961">
        <x:f>+'6. Social Benefit-2'!L45</x:f>
        <x:v>0</x:v>
      </x:c>
      <x:c r="K69" s="961">
        <x:f>+'6. Social Benefit-2'!M45</x:f>
        <x:v>121235.364</x:v>
      </x:c>
      <x:c r="L69" s="961">
        <x:f>+'6. Social Benefit-2'!N45</x:f>
        <x:v>47196.05799999999</x:v>
      </x:c>
      <x:c r="M69" s="961">
        <x:f>+'6. Social Benefit-2'!O45</x:f>
        <x:v>0</x:v>
      </x:c>
      <x:c r="N69" s="1024"/>
      <x:c r="O69" s="962"/>
      <x:c r="P69" s="963" t="s">
        <x:v>1185</x:v>
      </x:c>
    </x:row>
    <x:row r="70" spans="1:18" ht="16.899999999999999" customHeight="1">
      <x:c r="B70" s="964"/>
      <x:c r="C70" s="964"/>
      <x:c r="D70" s="964"/>
      <x:c r="E70" s="964"/>
      <x:c r="F70" s="964"/>
      <x:c r="G70" s="964"/>
      <x:c r="H70" s="964"/>
      <x:c r="I70" s="964"/>
      <x:c r="J70" s="964"/>
      <x:c r="K70" s="964"/>
      <x:c r="L70" s="964"/>
      <x:c r="M70" s="964"/>
      <x:c r="O70" s="965"/>
      <x:c r="P70" s="966"/>
    </x:row>
    <x:row r="71" spans="1:18" ht="16.899999999999999" customHeight="1">
      <x:c r="A71" s="1031" t="s">
        <x:v>1483</x:v>
      </x:c>
      <x:c r="B71" s="981"/>
      <x:c r="C71" s="981"/>
      <x:c r="D71" s="981"/>
      <x:c r="E71" s="981"/>
      <x:c r="F71" s="981"/>
      <x:c r="G71" s="981"/>
      <x:c r="H71" s="981"/>
      <x:c r="I71" s="981"/>
      <x:c r="J71" s="981"/>
      <x:c r="K71" s="981"/>
      <x:c r="L71" s="981"/>
      <x:c r="M71" s="981"/>
      <x:c r="O71" s="953"/>
      <x:c r="P71" s="878"/>
    </x:row>
    <x:row r="72" spans="1:18" ht="16.899999999999999" customHeight="1">
      <x:c r="A72" s="1030" t="s">
        <x:v>62</x:v>
      </x:c>
      <x:c r="B72" s="976">
        <x:f>+SUM(B73:B75)</x:f>
        <x:v>76750</x:v>
      </x:c>
      <x:c r="C72" s="976">
        <x:f t="shared" ref="C72:M72" si="11">+SUM(C73:C75)</x:f>
        <x:v>76750</x:v>
      </x:c>
      <x:c r="D72" s="976">
        <x:f t="shared" si="11"/>
        <x:v>76750</x:v>
      </x:c>
      <x:c r="E72" s="976">
        <x:f t="shared" si="11"/>
        <x:v>76750</x:v>
      </x:c>
      <x:c r="F72" s="976">
        <x:f t="shared" si="11"/>
        <x:v>102750</x:v>
      </x:c>
      <x:c r="G72" s="976">
        <x:f t="shared" si="11"/>
        <x:v>102750</x:v>
      </x:c>
      <x:c r="H72" s="976">
        <x:f t="shared" si="11"/>
        <x:v>102750</x:v>
      </x:c>
      <x:c r="I72" s="976">
        <x:f t="shared" si="11"/>
        <x:v>102750</x:v>
      </x:c>
      <x:c r="J72" s="976">
        <x:f t="shared" si="11"/>
        <x:v>102750</x:v>
      </x:c>
      <x:c r="K72" s="976">
        <x:f t="shared" si="11"/>
        <x:v>102750</x:v>
      </x:c>
      <x:c r="L72" s="976">
        <x:f t="shared" si="11"/>
        <x:v>102750</x:v>
      </x:c>
      <x:c r="M72" s="976">
        <x:f t="shared" si="11"/>
        <x:v>102750</x:v>
      </x:c>
      <x:c r="O72" s="977"/>
      <x:c r="P72" s="978"/>
      <x:c r="R72" s="964">
        <x:f>+SUM(B72:M72)</x:f>
        <x:v>1129000</x:v>
      </x:c>
    </x:row>
    <x:row r="73" spans="1:18" ht="16.899999999999999" customHeight="1">
      <x:c r="A73" s="1023" t="s">
        <x:v>63</x:v>
      </x:c>
      <x:c r="B73" s="958">
        <x:f>'7. Commucation '!D17</x:f>
        <x:v>76750</x:v>
      </x:c>
      <x:c r="C73" s="958">
        <x:f>'7. Commucation '!E17</x:f>
        <x:v>76750</x:v>
      </x:c>
      <x:c r="D73" s="958">
        <x:f>'7. Commucation '!F17</x:f>
        <x:v>76750</x:v>
      </x:c>
      <x:c r="E73" s="958">
        <x:f>'7. Commucation '!G17</x:f>
        <x:v>76750</x:v>
      </x:c>
      <x:c r="F73" s="958">
        <x:f>'7. Commucation '!H17</x:f>
        <x:v>102750</x:v>
      </x:c>
      <x:c r="G73" s="958">
        <x:f>'7. Commucation '!I17</x:f>
        <x:v>102750</x:v>
      </x:c>
      <x:c r="H73" s="958">
        <x:f>'7. Commucation '!J17</x:f>
        <x:v>102750</x:v>
      </x:c>
      <x:c r="I73" s="958">
        <x:f>'7. Commucation '!K17</x:f>
        <x:v>102750</x:v>
      </x:c>
      <x:c r="J73" s="958">
        <x:f>'7. Commucation '!L17</x:f>
        <x:v>102750</x:v>
      </x:c>
      <x:c r="K73" s="958">
        <x:f>'7. Commucation '!M17</x:f>
        <x:v>102750</x:v>
      </x:c>
      <x:c r="L73" s="958">
        <x:f>'7. Commucation '!N17</x:f>
        <x:v>102750</x:v>
      </x:c>
      <x:c r="M73" s="958">
        <x:f>'7. Commucation '!O17</x:f>
        <x:v>102750</x:v>
      </x:c>
      <x:c r="N73" s="1024"/>
      <x:c r="O73" s="959" t="s">
        <x:v>1222</x:v>
      </x:c>
      <x:c r="P73" s="960"/>
      <x:c r="R73" s="1025">
        <x:f>+R72-SUM(B73:M75)</x:f>
        <x:v>0</x:v>
      </x:c>
    </x:row>
    <x:row r="74" spans="1:18" ht="16.899999999999999" customHeight="1">
      <x:c r="A74" s="1023" t="s">
        <x:v>1025</x:v>
      </x:c>
      <x:c r="B74" s="958"/>
      <x:c r="C74" s="958"/>
      <x:c r="D74" s="958"/>
      <x:c r="E74" s="958"/>
      <x:c r="F74" s="958"/>
      <x:c r="G74" s="958"/>
      <x:c r="H74" s="958"/>
      <x:c r="I74" s="958"/>
      <x:c r="J74" s="958"/>
      <x:c r="K74" s="958"/>
      <x:c r="L74" s="958"/>
      <x:c r="M74" s="958"/>
      <x:c r="N74" s="1024"/>
      <x:c r="O74" s="959"/>
      <x:c r="P74" s="960"/>
    </x:row>
    <x:row r="75" spans="1:18" ht="16.899999999999999" customHeight="1">
      <x:c r="A75" s="1026" t="s">
        <x:v>65</x:v>
      </x:c>
      <x:c r="B75" s="961"/>
      <x:c r="C75" s="961"/>
      <x:c r="D75" s="961"/>
      <x:c r="E75" s="961"/>
      <x:c r="F75" s="961"/>
      <x:c r="G75" s="961"/>
      <x:c r="H75" s="961"/>
      <x:c r="I75" s="961"/>
      <x:c r="J75" s="961"/>
      <x:c r="K75" s="961"/>
      <x:c r="L75" s="961"/>
      <x:c r="M75" s="961"/>
      <x:c r="N75" s="1024"/>
      <x:c r="O75" s="962"/>
      <x:c r="P75" s="963" t="s">
        <x:v>1185</x:v>
      </x:c>
    </x:row>
    <x:row r="76" spans="1:18" ht="16.899999999999999" customHeight="1">
      <x:c r="B76" s="964"/>
      <x:c r="C76" s="964"/>
      <x:c r="D76" s="964"/>
      <x:c r="E76" s="964"/>
      <x:c r="F76" s="964"/>
      <x:c r="G76" s="964"/>
      <x:c r="H76" s="964"/>
      <x:c r="I76" s="964"/>
      <x:c r="J76" s="964"/>
      <x:c r="K76" s="964"/>
      <x:c r="L76" s="964"/>
      <x:c r="M76" s="964"/>
      <x:c r="O76" s="965"/>
      <x:c r="P76" s="966"/>
    </x:row>
    <x:row r="77" spans="1:18" ht="16.899999999999999" customHeight="1">
      <x:c r="A77" s="1022" t="s">
        <x:v>1079</x:v>
      </x:c>
      <x:c r="B77" s="968">
        <x:f>SUM(B78:B80)</x:f>
        <x:v>0</x:v>
      </x:c>
      <x:c r="C77" s="968">
        <x:f t="shared" ref="C77:M77" si="12">SUM(C78:C80)</x:f>
        <x:v>0</x:v>
      </x:c>
      <x:c r="D77" s="968">
        <x:f t="shared" si="12"/>
        <x:v>0</x:v>
      </x:c>
      <x:c r="E77" s="968">
        <x:f t="shared" si="12"/>
        <x:v>0</x:v>
      </x:c>
      <x:c r="F77" s="968">
        <x:f t="shared" si="12"/>
        <x:v>0</x:v>
      </x:c>
      <x:c r="G77" s="968">
        <x:f t="shared" si="12"/>
        <x:v>0</x:v>
      </x:c>
      <x:c r="H77" s="968">
        <x:f t="shared" si="12"/>
        <x:v>0</x:v>
      </x:c>
      <x:c r="I77" s="968">
        <x:f t="shared" si="12"/>
        <x:v>0</x:v>
      </x:c>
      <x:c r="J77" s="968">
        <x:f t="shared" si="12"/>
        <x:v>0</x:v>
      </x:c>
      <x:c r="K77" s="968">
        <x:f t="shared" si="12"/>
        <x:v>0</x:v>
      </x:c>
      <x:c r="L77" s="968">
        <x:f t="shared" si="12"/>
        <x:v>0</x:v>
      </x:c>
      <x:c r="M77" s="968">
        <x:f t="shared" si="12"/>
        <x:v>0</x:v>
      </x:c>
      <x:c r="O77" s="969"/>
      <x:c r="P77" s="970"/>
      <x:c r="R77" s="964">
        <x:f>+SUM(B77:M77)</x:f>
        <x:v>0</x:v>
      </x:c>
    </x:row>
    <x:row r="78" spans="1:18" ht="16.899999999999999" customHeight="1">
      <x:c r="A78" s="1023" t="s">
        <x:v>66</x:v>
      </x:c>
      <x:c r="B78" s="958">
        <x:f>'7. Commucation '!D18</x:f>
        <x:v>0</x:v>
      </x:c>
      <x:c r="C78" s="958">
        <x:f>'7. Commucation '!E18</x:f>
        <x:v>0</x:v>
      </x:c>
      <x:c r="D78" s="958">
        <x:f>'7. Commucation '!F18</x:f>
        <x:v>0</x:v>
      </x:c>
      <x:c r="E78" s="958">
        <x:f>'7. Commucation '!G18</x:f>
        <x:v>0</x:v>
      </x:c>
      <x:c r="F78" s="958">
        <x:f>'7. Commucation '!H18</x:f>
        <x:v>0</x:v>
      </x:c>
      <x:c r="G78" s="958">
        <x:f>'7. Commucation '!I18</x:f>
        <x:v>0</x:v>
      </x:c>
      <x:c r="H78" s="958">
        <x:f>'7. Commucation '!J18</x:f>
        <x:v>0</x:v>
      </x:c>
      <x:c r="I78" s="958">
        <x:f>'7. Commucation '!K18</x:f>
        <x:v>0</x:v>
      </x:c>
      <x:c r="J78" s="958">
        <x:f>'7. Commucation '!L18</x:f>
        <x:v>0</x:v>
      </x:c>
      <x:c r="K78" s="958">
        <x:f>'7. Commucation '!M18</x:f>
        <x:v>0</x:v>
      </x:c>
      <x:c r="L78" s="958">
        <x:f>'7. Commucation '!N18</x:f>
        <x:v>0</x:v>
      </x:c>
      <x:c r="M78" s="958">
        <x:f>'7. Commucation '!O18</x:f>
        <x:v>0</x:v>
      </x:c>
      <x:c r="O78" s="982"/>
      <x:c r="P78" s="983"/>
      <x:c r="R78" s="1025">
        <x:f>+R77-SUM(B78:M80)</x:f>
        <x:v>0</x:v>
      </x:c>
    </x:row>
    <x:row r="79" spans="1:18" ht="16.899999999999999" customHeight="1">
      <x:c r="A79" s="1023" t="s">
        <x:v>64</x:v>
      </x:c>
      <x:c r="B79" s="958"/>
      <x:c r="C79" s="958"/>
      <x:c r="D79" s="958"/>
      <x:c r="E79" s="958"/>
      <x:c r="F79" s="958"/>
      <x:c r="G79" s="958"/>
      <x:c r="H79" s="958"/>
      <x:c r="I79" s="958"/>
      <x:c r="J79" s="958"/>
      <x:c r="K79" s="958"/>
      <x:c r="L79" s="958"/>
      <x:c r="M79" s="958"/>
      <x:c r="O79" s="982"/>
      <x:c r="P79" s="983"/>
    </x:row>
    <x:row r="80" spans="1:18" ht="16.899999999999999" customHeight="1">
      <x:c r="A80" s="1026" t="s">
        <x:v>65</x:v>
      </x:c>
      <x:c r="B80" s="961"/>
      <x:c r="C80" s="961"/>
      <x:c r="D80" s="961"/>
      <x:c r="E80" s="961"/>
      <x:c r="F80" s="961"/>
      <x:c r="G80" s="961"/>
      <x:c r="H80" s="961"/>
      <x:c r="I80" s="961"/>
      <x:c r="J80" s="961"/>
      <x:c r="K80" s="961"/>
      <x:c r="L80" s="961"/>
      <x:c r="M80" s="961"/>
      <x:c r="O80" s="982"/>
      <x:c r="P80" s="983"/>
    </x:row>
    <x:row r="82" spans="1:18" ht="16.899999999999999" customHeight="1">
      <x:c r="A82" s="1022" t="s">
        <x:v>1482</x:v>
      </x:c>
      <x:c r="B82" s="968">
        <x:f>SUM(B83:B85)</x:f>
        <x:v>30000</x:v>
      </x:c>
      <x:c r="C82" s="968">
        <x:f t="shared" ref="C82:M82" si="13">SUM(C83:C85)</x:f>
        <x:v>30000</x:v>
      </x:c>
      <x:c r="D82" s="968">
        <x:f t="shared" si="13"/>
        <x:v>30000</x:v>
      </x:c>
      <x:c r="E82" s="968">
        <x:f t="shared" si="13"/>
        <x:v>30000</x:v>
      </x:c>
      <x:c r="F82" s="968">
        <x:f t="shared" si="13"/>
        <x:v>30000</x:v>
      </x:c>
      <x:c r="G82" s="968">
        <x:f t="shared" si="13"/>
        <x:v>30000</x:v>
      </x:c>
      <x:c r="H82" s="968">
        <x:f t="shared" si="13"/>
        <x:v>30000</x:v>
      </x:c>
      <x:c r="I82" s="968">
        <x:f t="shared" si="13"/>
        <x:v>30000</x:v>
      </x:c>
      <x:c r="J82" s="968">
        <x:f t="shared" si="13"/>
        <x:v>30000</x:v>
      </x:c>
      <x:c r="K82" s="968">
        <x:f t="shared" si="13"/>
        <x:v>30000</x:v>
      </x:c>
      <x:c r="L82" s="968">
        <x:f t="shared" si="13"/>
        <x:v>30000</x:v>
      </x:c>
      <x:c r="M82" s="968">
        <x:f t="shared" si="13"/>
        <x:v>30000</x:v>
      </x:c>
      <x:c r="O82" s="969"/>
      <x:c r="P82" s="970"/>
      <x:c r="R82" s="964">
        <x:f>+SUM(B82:M82)</x:f>
        <x:v>360000</x:v>
      </x:c>
    </x:row>
    <x:row r="83" spans="1:18" ht="16.899999999999999" customHeight="1">
      <x:c r="A83" s="1023" t="s">
        <x:v>68</x:v>
      </x:c>
      <x:c r="B83" s="958">
        <x:f>'7. Commucation '!D24</x:f>
        <x:v>30000</x:v>
      </x:c>
      <x:c r="C83" s="958">
        <x:f>'7. Commucation '!E24</x:f>
        <x:v>30000</x:v>
      </x:c>
      <x:c r="D83" s="958">
        <x:f>'7. Commucation '!F24</x:f>
        <x:v>30000</x:v>
      </x:c>
      <x:c r="E83" s="958">
        <x:f>'7. Commucation '!G24</x:f>
        <x:v>30000</x:v>
      </x:c>
      <x:c r="F83" s="958">
        <x:f>'7. Commucation '!H24</x:f>
        <x:v>30000</x:v>
      </x:c>
      <x:c r="G83" s="958">
        <x:f>'7. Commucation '!I24</x:f>
        <x:v>30000</x:v>
      </x:c>
      <x:c r="H83" s="958">
        <x:f>'7. Commucation '!J24</x:f>
        <x:v>30000</x:v>
      </x:c>
      <x:c r="I83" s="958">
        <x:f>'7. Commucation '!K24</x:f>
        <x:v>30000</x:v>
      </x:c>
      <x:c r="J83" s="958">
        <x:f>'7. Commucation '!L24</x:f>
        <x:v>30000</x:v>
      </x:c>
      <x:c r="K83" s="958">
        <x:f>'7. Commucation '!M24</x:f>
        <x:v>30000</x:v>
      </x:c>
      <x:c r="L83" s="958">
        <x:f>'7. Commucation '!N24</x:f>
        <x:v>30000</x:v>
      </x:c>
      <x:c r="M83" s="958">
        <x:f>'7. Commucation '!O24</x:f>
        <x:v>30000</x:v>
      </x:c>
      <x:c r="N83" s="1024"/>
      <x:c r="O83" s="959" t="s">
        <x:v>1197</x:v>
      </x:c>
      <x:c r="P83" s="983"/>
      <x:c r="R83" s="1025">
        <x:f>+R82-SUM(B83:M85)</x:f>
        <x:v>0</x:v>
      </x:c>
    </x:row>
    <x:row r="84" spans="1:18" ht="16.899999999999999" customHeight="1">
      <x:c r="A84" s="1023" t="s">
        <x:v>69</x:v>
      </x:c>
      <x:c r="B84" s="958"/>
      <x:c r="C84" s="958"/>
      <x:c r="D84" s="958"/>
      <x:c r="E84" s="958"/>
      <x:c r="F84" s="958"/>
      <x:c r="G84" s="958"/>
      <x:c r="H84" s="958"/>
      <x:c r="I84" s="958"/>
      <x:c r="J84" s="958"/>
      <x:c r="K84" s="958"/>
      <x:c r="L84" s="958"/>
      <x:c r="M84" s="958"/>
      <x:c r="N84" s="1024"/>
      <x:c r="O84" s="982"/>
      <x:c r="P84" s="983"/>
    </x:row>
    <x:row r="85" spans="1:18" ht="16.899999999999999" customHeight="1">
      <x:c r="A85" s="1026" t="s">
        <x:v>65</x:v>
      </x:c>
      <x:c r="B85" s="961"/>
      <x:c r="C85" s="961"/>
      <x:c r="D85" s="961"/>
      <x:c r="E85" s="961"/>
      <x:c r="F85" s="961"/>
      <x:c r="G85" s="961"/>
      <x:c r="H85" s="961"/>
      <x:c r="I85" s="961"/>
      <x:c r="J85" s="961"/>
      <x:c r="K85" s="961"/>
      <x:c r="L85" s="961"/>
      <x:c r="M85" s="961"/>
      <x:c r="N85" s="1024"/>
      <x:c r="O85" s="982"/>
      <x:c r="P85" s="983"/>
    </x:row>
    <x:row r="86" spans="1:18" ht="16.899999999999999" customHeight="1">
      <x:c r="B86" s="964"/>
      <x:c r="C86" s="964"/>
      <x:c r="D86" s="964"/>
      <x:c r="E86" s="964"/>
      <x:c r="F86" s="964"/>
      <x:c r="G86" s="964"/>
      <x:c r="H86" s="964"/>
      <x:c r="I86" s="964"/>
      <x:c r="J86" s="964"/>
      <x:c r="K86" s="964"/>
      <x:c r="L86" s="964"/>
      <x:c r="M86" s="964"/>
      <x:c r="O86" s="965"/>
      <x:c r="P86" s="966"/>
    </x:row>
    <x:row r="87" spans="1:18" ht="16.899999999999999" customHeight="1">
      <x:c r="A87" s="1022" t="s">
        <x:v>65</x:v>
      </x:c>
      <x:c r="B87" s="968">
        <x:f>SUM(B88:B91)</x:f>
        <x:v>521500</x:v>
      </x:c>
      <x:c r="C87" s="968">
        <x:f t="shared" ref="C87:M87" si="14">SUM(C88:C91)</x:f>
        <x:v>521500</x:v>
      </x:c>
      <x:c r="D87" s="968">
        <x:f t="shared" si="14"/>
        <x:v>521500</x:v>
      </x:c>
      <x:c r="E87" s="968">
        <x:f t="shared" si="14"/>
        <x:v>521500</x:v>
      </x:c>
      <x:c r="F87" s="968">
        <x:f t="shared" si="14"/>
        <x:v>521500</x:v>
      </x:c>
      <x:c r="G87" s="968">
        <x:f t="shared" si="14"/>
        <x:v>521500</x:v>
      </x:c>
      <x:c r="H87" s="968">
        <x:f t="shared" si="14"/>
        <x:v>521500</x:v>
      </x:c>
      <x:c r="I87" s="968">
        <x:f t="shared" si="14"/>
        <x:v>521500</x:v>
      </x:c>
      <x:c r="J87" s="968">
        <x:f t="shared" si="14"/>
        <x:v>521500</x:v>
      </x:c>
      <x:c r="K87" s="968">
        <x:f t="shared" si="14"/>
        <x:v>521500</x:v>
      </x:c>
      <x:c r="L87" s="968">
        <x:f t="shared" si="14"/>
        <x:v>521500</x:v>
      </x:c>
      <x:c r="M87" s="968">
        <x:f t="shared" si="14"/>
        <x:v>521500</x:v>
      </x:c>
      <x:c r="O87" s="969"/>
      <x:c r="P87" s="970"/>
      <x:c r="R87" s="964">
        <x:f>+SUM(B87:M87)</x:f>
        <x:v>6258000</x:v>
      </x:c>
    </x:row>
    <x:row r="88" spans="1:18" ht="16.899999999999999" customHeight="1">
      <x:c r="A88" s="1023" t="s">
        <x:v>70</x:v>
      </x:c>
      <x:c r="B88" s="984">
        <x:f>'10. Warehouse'!E5</x:f>
        <x:v>494500</x:v>
      </x:c>
      <x:c r="C88" s="984">
        <x:f>'10. Warehouse'!F5</x:f>
        <x:v>494500</x:v>
      </x:c>
      <x:c r="D88" s="984">
        <x:f>'10. Warehouse'!G5</x:f>
        <x:v>494500</x:v>
      </x:c>
      <x:c r="E88" s="984">
        <x:f>'10. Warehouse'!H5</x:f>
        <x:v>494500</x:v>
      </x:c>
      <x:c r="F88" s="984">
        <x:f>'10. Warehouse'!I5</x:f>
        <x:v>494500</x:v>
      </x:c>
      <x:c r="G88" s="984">
        <x:f>'10. Warehouse'!J5</x:f>
        <x:v>494500</x:v>
      </x:c>
      <x:c r="H88" s="984">
        <x:f>'10. Warehouse'!K5</x:f>
        <x:v>494500</x:v>
      </x:c>
      <x:c r="I88" s="984">
        <x:f>'10. Warehouse'!L5</x:f>
        <x:v>494500</x:v>
      </x:c>
      <x:c r="J88" s="984">
        <x:f>'10. Warehouse'!M5</x:f>
        <x:v>494500</x:v>
      </x:c>
      <x:c r="K88" s="984">
        <x:f>'10. Warehouse'!N5</x:f>
        <x:v>494500</x:v>
      </x:c>
      <x:c r="L88" s="984">
        <x:f>'10. Warehouse'!O5</x:f>
        <x:v>494500</x:v>
      </x:c>
      <x:c r="M88" s="984">
        <x:f>'10. Warehouse'!P5</x:f>
        <x:v>494500</x:v>
      </x:c>
      <x:c r="N88" s="1024"/>
      <x:c r="O88" s="985" t="s">
        <x:v>1198</x:v>
      </x:c>
      <x:c r="P88" s="983"/>
      <x:c r="R88" s="1025">
        <x:f>+R87-SUM(B88:M91)</x:f>
        <x:v>0</x:v>
      </x:c>
    </x:row>
    <x:row r="89" spans="1:18" ht="16.899999999999999" customHeight="1">
      <x:c r="A89" s="1023" t="s">
        <x:v>71</x:v>
      </x:c>
      <x:c r="B89" s="958"/>
      <x:c r="C89" s="958"/>
      <x:c r="D89" s="958"/>
      <x:c r="E89" s="958"/>
      <x:c r="F89" s="958"/>
      <x:c r="G89" s="958"/>
      <x:c r="H89" s="958"/>
      <x:c r="I89" s="958"/>
      <x:c r="J89" s="958"/>
      <x:c r="K89" s="958"/>
      <x:c r="L89" s="958"/>
      <x:c r="M89" s="958"/>
      <x:c r="N89" s="1024"/>
      <x:c r="O89" s="982"/>
      <x:c r="P89" s="983"/>
    </x:row>
    <x:row r="90" spans="1:18" ht="16.899999999999999" customHeight="1">
      <x:c r="A90" s="1023" t="s">
        <x:v>72</x:v>
      </x:c>
      <x:c r="B90" s="958"/>
      <x:c r="C90" s="958"/>
      <x:c r="D90" s="958"/>
      <x:c r="E90" s="958"/>
      <x:c r="F90" s="958"/>
      <x:c r="G90" s="958"/>
      <x:c r="H90" s="958"/>
      <x:c r="I90" s="958"/>
      <x:c r="J90" s="958"/>
      <x:c r="K90" s="958"/>
      <x:c r="L90" s="958"/>
      <x:c r="M90" s="958"/>
      <x:c r="N90" s="1024"/>
      <x:c r="O90" s="982"/>
      <x:c r="P90" s="983"/>
    </x:row>
    <x:row r="91" spans="1:18" ht="16.899999999999999" customHeight="1">
      <x:c r="A91" s="1026" t="s">
        <x:v>1023</x:v>
      </x:c>
      <x:c r="B91" s="961">
        <x:f>'7. Commucation '!D23</x:f>
        <x:v>27000</x:v>
      </x:c>
      <x:c r="C91" s="961">
        <x:f>'7. Commucation '!E23</x:f>
        <x:v>27000</x:v>
      </x:c>
      <x:c r="D91" s="961">
        <x:f>'7. Commucation '!F23</x:f>
        <x:v>27000</x:v>
      </x:c>
      <x:c r="E91" s="961">
        <x:f>'7. Commucation '!G23</x:f>
        <x:v>27000</x:v>
      </x:c>
      <x:c r="F91" s="961">
        <x:f>'7. Commucation '!H23</x:f>
        <x:v>27000</x:v>
      </x:c>
      <x:c r="G91" s="961">
        <x:f>'7. Commucation '!I23</x:f>
        <x:v>27000</x:v>
      </x:c>
      <x:c r="H91" s="961">
        <x:f>'7. Commucation '!J23</x:f>
        <x:v>27000</x:v>
      </x:c>
      <x:c r="I91" s="961">
        <x:f>'7. Commucation '!K23</x:f>
        <x:v>27000</x:v>
      </x:c>
      <x:c r="J91" s="961">
        <x:f>'7. Commucation '!L23</x:f>
        <x:v>27000</x:v>
      </x:c>
      <x:c r="K91" s="961">
        <x:f>'7. Commucation '!M23</x:f>
        <x:v>27000</x:v>
      </x:c>
      <x:c r="L91" s="961">
        <x:f>'7. Commucation '!N23</x:f>
        <x:v>27000</x:v>
      </x:c>
      <x:c r="M91" s="961">
        <x:f>'7. Commucation '!O23</x:f>
        <x:v>27000</x:v>
      </x:c>
      <x:c r="N91" s="1024"/>
      <x:c r="O91" s="962" t="s">
        <x:v>1199</x:v>
      </x:c>
      <x:c r="P91" s="983"/>
    </x:row>
    <x:row r="92" spans="1:18" ht="16.899999999999999" customHeight="1">
      <x:c r="B92" s="964"/>
      <x:c r="C92" s="964"/>
      <x:c r="D92" s="964"/>
      <x:c r="E92" s="964"/>
      <x:c r="F92" s="964"/>
      <x:c r="G92" s="964"/>
      <x:c r="H92" s="964"/>
      <x:c r="I92" s="964"/>
      <x:c r="J92" s="964"/>
      <x:c r="K92" s="964"/>
      <x:c r="L92" s="964"/>
      <x:c r="M92" s="964"/>
      <x:c r="O92" s="965"/>
      <x:c r="P92" s="966"/>
    </x:row>
    <x:row r="93" spans="1:18" ht="16.899999999999999" customHeight="1">
      <x:c r="A93" s="1022" t="s">
        <x:v>1026</x:v>
      </x:c>
      <x:c r="B93" s="968">
        <x:f>SUM(B94:B100)</x:f>
        <x:v>362260.83333333337</x:v>
      </x:c>
      <x:c r="C93" s="968">
        <x:f t="shared" ref="C93:M93" si="15">SUM(C94:C100)</x:f>
        <x:v>362260.83333333337</x:v>
      </x:c>
      <x:c r="D93" s="968">
        <x:f t="shared" si="15"/>
        <x:v>362260.83333333337</x:v>
      </x:c>
      <x:c r="E93" s="968">
        <x:f t="shared" si="15"/>
        <x:v>362260.83333333337</x:v>
      </x:c>
      <x:c r="F93" s="968">
        <x:f t="shared" si="15"/>
        <x:v>362260.83333333337</x:v>
      </x:c>
      <x:c r="G93" s="968">
        <x:f t="shared" si="15"/>
        <x:v>362260.83333333337</x:v>
      </x:c>
      <x:c r="H93" s="968">
        <x:f t="shared" si="15"/>
        <x:v>362260.83333333337</x:v>
      </x:c>
      <x:c r="I93" s="968">
        <x:f t="shared" si="15"/>
        <x:v>362260.83333333337</x:v>
      </x:c>
      <x:c r="J93" s="968">
        <x:f t="shared" si="15"/>
        <x:v>362260.83333333337</x:v>
      </x:c>
      <x:c r="K93" s="968">
        <x:f t="shared" si="15"/>
        <x:v>362260.83333333337</x:v>
      </x:c>
      <x:c r="L93" s="968">
        <x:f t="shared" si="15"/>
        <x:v>362260.83333333337</x:v>
      </x:c>
      <x:c r="M93" s="968">
        <x:f t="shared" si="15"/>
        <x:v>3189510.833333333</x:v>
      </x:c>
      <x:c r="O93" s="969"/>
      <x:c r="P93" s="970"/>
      <x:c r="R93" s="964">
        <x:f>+SUM(B93:M93)</x:f>
        <x:v>7174380.0000000009</x:v>
      </x:c>
    </x:row>
    <x:row r="94" spans="1:18" ht="16.899999999999999" customHeight="1">
      <x:c r="A94" s="1023" t="s">
        <x:v>74</x:v>
      </x:c>
      <x:c r="B94" s="958">
        <x:f>'11. Trip'!D7</x:f>
        <x:v>0</x:v>
      </x:c>
      <x:c r="C94" s="958">
        <x:f>'11. Trip'!E7</x:f>
        <x:v>0</x:v>
      </x:c>
      <x:c r="D94" s="958">
        <x:f>'11. Trip'!F7</x:f>
        <x:v>0</x:v>
      </x:c>
      <x:c r="E94" s="958">
        <x:f>'11. Trip'!G7</x:f>
        <x:v>0</x:v>
      </x:c>
      <x:c r="F94" s="958">
        <x:f>'11. Trip'!H7</x:f>
        <x:v>0</x:v>
      </x:c>
      <x:c r="G94" s="958">
        <x:f>'11. Trip'!I7</x:f>
        <x:v>0</x:v>
      </x:c>
      <x:c r="H94" s="958">
        <x:f>'11. Trip'!J7</x:f>
        <x:v>0</x:v>
      </x:c>
      <x:c r="I94" s="958">
        <x:f>'11. Trip'!K7</x:f>
        <x:v>0</x:v>
      </x:c>
      <x:c r="J94" s="958">
        <x:f>'11. Trip'!L7</x:f>
        <x:v>0</x:v>
      </x:c>
      <x:c r="K94" s="958">
        <x:f>'11. Trip'!M7</x:f>
        <x:v>0</x:v>
      </x:c>
      <x:c r="L94" s="958">
        <x:f>'11. Trip'!N7</x:f>
        <x:v>0</x:v>
      </x:c>
      <x:c r="M94" s="958">
        <x:f>'11. Trip'!O7</x:f>
        <x:v>0</x:v>
      </x:c>
      <x:c r="N94" s="1024"/>
      <x:c r="O94" s="959"/>
      <x:c r="P94" s="983"/>
      <x:c r="R94" s="1025">
        <x:f>+R93-SUM(B94:M100)</x:f>
        <x:v>0</x:v>
      </x:c>
    </x:row>
    <x:row r="95" spans="1:18" ht="16.899999999999999" customHeight="1">
      <x:c r="A95" s="1023" t="s">
        <x:v>75</x:v>
      </x:c>
      <x:c r="B95" s="958">
        <x:f>'11. Trip'!D8</x:f>
        <x:v>20300</x:v>
      </x:c>
      <x:c r="C95" s="958">
        <x:f>'11. Trip'!E8</x:f>
        <x:v>20300</x:v>
      </x:c>
      <x:c r="D95" s="958">
        <x:f>'11. Trip'!F8</x:f>
        <x:v>20300</x:v>
      </x:c>
      <x:c r="E95" s="958">
        <x:f>'11. Trip'!G8</x:f>
        <x:v>20300</x:v>
      </x:c>
      <x:c r="F95" s="958">
        <x:f>'11. Trip'!H8</x:f>
        <x:v>20300</x:v>
      </x:c>
      <x:c r="G95" s="958">
        <x:f>'11. Trip'!I8</x:f>
        <x:v>20300</x:v>
      </x:c>
      <x:c r="H95" s="958">
        <x:f>'11. Trip'!J8</x:f>
        <x:v>20300</x:v>
      </x:c>
      <x:c r="I95" s="958">
        <x:f>'11. Trip'!K8</x:f>
        <x:v>20300</x:v>
      </x:c>
      <x:c r="J95" s="958">
        <x:f>'11. Trip'!L8</x:f>
        <x:v>20300</x:v>
      </x:c>
      <x:c r="K95" s="958">
        <x:f>'11. Trip'!M8</x:f>
        <x:v>20300</x:v>
      </x:c>
      <x:c r="L95" s="958">
        <x:f>'11. Trip'!N8</x:f>
        <x:v>20300</x:v>
      </x:c>
      <x:c r="M95" s="958">
        <x:f>'11. Trip'!O8</x:f>
        <x:v>20300</x:v>
      </x:c>
      <x:c r="N95" s="1024"/>
      <x:c r="O95" s="959" t="s">
        <x:v>1223</x:v>
      </x:c>
      <x:c r="P95" s="983" t="s">
        <x:v>1224</x:v>
      </x:c>
    </x:row>
    <x:row r="96" spans="1:18" ht="16.899999999999999" customHeight="1">
      <x:c r="A96" s="1023" t="s">
        <x:v>76</x:v>
      </x:c>
      <x:c r="B96" s="958">
        <x:f>'11. Trip'!D9</x:f>
        <x:v>43700</x:v>
      </x:c>
      <x:c r="C96" s="958">
        <x:f>'11. Trip'!E9</x:f>
        <x:v>43700</x:v>
      </x:c>
      <x:c r="D96" s="958">
        <x:f>'11. Trip'!F9</x:f>
        <x:v>43700</x:v>
      </x:c>
      <x:c r="E96" s="958">
        <x:f>'11. Trip'!G9</x:f>
        <x:v>43700</x:v>
      </x:c>
      <x:c r="F96" s="958">
        <x:f>'11. Trip'!H9</x:f>
        <x:v>43700</x:v>
      </x:c>
      <x:c r="G96" s="958">
        <x:f>'11. Trip'!I9</x:f>
        <x:v>43700</x:v>
      </x:c>
      <x:c r="H96" s="958">
        <x:f>'11. Trip'!J9</x:f>
        <x:v>43700</x:v>
      </x:c>
      <x:c r="I96" s="958">
        <x:f>'11. Trip'!K9</x:f>
        <x:v>43700</x:v>
      </x:c>
      <x:c r="J96" s="958">
        <x:f>'11. Trip'!L9</x:f>
        <x:v>43700</x:v>
      </x:c>
      <x:c r="K96" s="958">
        <x:f>'11. Trip'!M9</x:f>
        <x:v>43700</x:v>
      </x:c>
      <x:c r="L96" s="958">
        <x:f>'11. Trip'!N9</x:f>
        <x:v>43700</x:v>
      </x:c>
      <x:c r="M96" s="958">
        <x:f>'11. Trip'!O9</x:f>
        <x:v>43700</x:v>
      </x:c>
      <x:c r="N96" s="1024"/>
      <x:c r="O96" s="959" t="s">
        <x:v>1225</x:v>
      </x:c>
      <x:c r="P96" s="983" t="s">
        <x:v>1224</x:v>
      </x:c>
    </x:row>
    <x:row r="97" spans="1:18" ht="16.899999999999999" customHeight="1">
      <x:c r="A97" s="1023" t="s">
        <x:v>77</x:v>
      </x:c>
      <x:c r="B97" s="958">
        <x:f>'11. Trip'!D10</x:f>
        <x:v>24200</x:v>
      </x:c>
      <x:c r="C97" s="958">
        <x:f>'11. Trip'!E10</x:f>
        <x:v>24200</x:v>
      </x:c>
      <x:c r="D97" s="958">
        <x:f>'11. Trip'!F10</x:f>
        <x:v>24200</x:v>
      </x:c>
      <x:c r="E97" s="958">
        <x:f>'11. Trip'!G10</x:f>
        <x:v>24200</x:v>
      </x:c>
      <x:c r="F97" s="958">
        <x:f>'11. Trip'!H10</x:f>
        <x:v>24200</x:v>
      </x:c>
      <x:c r="G97" s="958">
        <x:f>'11. Trip'!I10</x:f>
        <x:v>24200</x:v>
      </x:c>
      <x:c r="H97" s="958">
        <x:f>'11. Trip'!J10</x:f>
        <x:v>24200</x:v>
      </x:c>
      <x:c r="I97" s="958">
        <x:f>'11. Trip'!K10</x:f>
        <x:v>24200</x:v>
      </x:c>
      <x:c r="J97" s="958">
        <x:f>'11. Trip'!L10</x:f>
        <x:v>24200</x:v>
      </x:c>
      <x:c r="K97" s="958">
        <x:f>'11. Trip'!M10</x:f>
        <x:v>24200</x:v>
      </x:c>
      <x:c r="L97" s="958">
        <x:f>'11. Trip'!N10</x:f>
        <x:v>24200</x:v>
      </x:c>
      <x:c r="M97" s="958">
        <x:f>'11. Trip'!O10</x:f>
        <x:v>24200</x:v>
      </x:c>
      <x:c r="N97" s="1024"/>
      <x:c r="O97" s="959" t="s">
        <x:v>1226</x:v>
      </x:c>
      <x:c r="P97" s="983" t="s">
        <x:v>1224</x:v>
      </x:c>
    </x:row>
    <x:row r="98" spans="1:18" ht="16.899999999999999" customHeight="1">
      <x:c r="A98" s="1023" t="s">
        <x:v>78</x:v>
      </x:c>
      <x:c r="B98" s="958">
        <x:f>'11. Trip'!D11</x:f>
        <x:v>190205.83333333334</x:v>
      </x:c>
      <x:c r="C98" s="958">
        <x:f>'11. Trip'!E11</x:f>
        <x:v>190205.83333333334</x:v>
      </x:c>
      <x:c r="D98" s="958">
        <x:f>'11. Trip'!F11</x:f>
        <x:v>190205.83333333334</x:v>
      </x:c>
      <x:c r="E98" s="958">
        <x:f>'11. Trip'!G11</x:f>
        <x:v>190205.83333333334</x:v>
      </x:c>
      <x:c r="F98" s="958">
        <x:f>'11. Trip'!H11</x:f>
        <x:v>190205.83333333334</x:v>
      </x:c>
      <x:c r="G98" s="958">
        <x:f>'11. Trip'!I11</x:f>
        <x:v>190205.83333333334</x:v>
      </x:c>
      <x:c r="H98" s="958">
        <x:f>'11. Trip'!J11</x:f>
        <x:v>190205.83333333334</x:v>
      </x:c>
      <x:c r="I98" s="958">
        <x:f>'11. Trip'!K11</x:f>
        <x:v>190205.83333333334</x:v>
      </x:c>
      <x:c r="J98" s="958">
        <x:f>'11. Trip'!L11</x:f>
        <x:v>190205.83333333334</x:v>
      </x:c>
      <x:c r="K98" s="958">
        <x:f>'11. Trip'!M11</x:f>
        <x:v>190205.83333333334</x:v>
      </x:c>
      <x:c r="L98" s="958">
        <x:f>'11. Trip'!N11</x:f>
        <x:v>190205.83333333334</x:v>
      </x:c>
      <x:c r="M98" s="958">
        <x:f>'11. Trip'!O11</x:f>
        <x:v>1843555.8333333333</x:v>
      </x:c>
      <x:c r="N98" s="1024"/>
      <x:c r="O98" s="967" t="s">
        <x:v>1495</x:v>
      </x:c>
      <x:c r="P98" s="960"/>
    </x:row>
    <x:row r="99" spans="1:18" ht="16.899999999999999" customHeight="1">
      <x:c r="A99" s="1023" t="s">
        <x:v>79</x:v>
      </x:c>
      <x:c r="B99" s="958">
        <x:f>'11. Trip'!D12</x:f>
        <x:v>16705</x:v>
      </x:c>
      <x:c r="C99" s="958">
        <x:f>'11. Trip'!E12</x:f>
        <x:v>16705</x:v>
      </x:c>
      <x:c r="D99" s="958">
        <x:f>'11. Trip'!F12</x:f>
        <x:v>16705</x:v>
      </x:c>
      <x:c r="E99" s="958">
        <x:f>'11. Trip'!G12</x:f>
        <x:v>16705</x:v>
      </x:c>
      <x:c r="F99" s="958">
        <x:f>'11. Trip'!H12</x:f>
        <x:v>16705</x:v>
      </x:c>
      <x:c r="G99" s="958">
        <x:f>'11. Trip'!I12</x:f>
        <x:v>16705</x:v>
      </x:c>
      <x:c r="H99" s="958">
        <x:f>'11. Trip'!J12</x:f>
        <x:v>16705</x:v>
      </x:c>
      <x:c r="I99" s="958">
        <x:f>'11. Trip'!K12</x:f>
        <x:v>16705</x:v>
      </x:c>
      <x:c r="J99" s="958">
        <x:f>'11. Trip'!L12</x:f>
        <x:v>16705</x:v>
      </x:c>
      <x:c r="K99" s="958">
        <x:f>'11. Trip'!M12</x:f>
        <x:v>16705</x:v>
      </x:c>
      <x:c r="L99" s="958">
        <x:f>'11. Trip'!N12</x:f>
        <x:v>16705</x:v>
      </x:c>
      <x:c r="M99" s="958">
        <x:f>'11. Trip'!O12</x:f>
        <x:v>352105</x:v>
      </x:c>
      <x:c r="N99" s="1032"/>
      <x:c r="O99" s="959" t="s">
        <x:v>1227</x:v>
      </x:c>
      <x:c r="P99" s="983" t="s">
        <x:v>1224</x:v>
      </x:c>
    </x:row>
    <x:row r="100" spans="1:18" ht="16.899999999999999" customHeight="1">
      <x:c r="A100" s="1026" t="s">
        <x:v>80</x:v>
      </x:c>
      <x:c r="B100" s="958">
        <x:f>'11. Trip'!D13</x:f>
        <x:v>67150</x:v>
      </x:c>
      <x:c r="C100" s="958">
        <x:f>'11. Trip'!E13</x:f>
        <x:v>67150</x:v>
      </x:c>
      <x:c r="D100" s="958">
        <x:f>'11. Trip'!F13</x:f>
        <x:v>67150</x:v>
      </x:c>
      <x:c r="E100" s="958">
        <x:f>'11. Trip'!G13</x:f>
        <x:v>67150</x:v>
      </x:c>
      <x:c r="F100" s="958">
        <x:f>'11. Trip'!H13</x:f>
        <x:v>67150</x:v>
      </x:c>
      <x:c r="G100" s="958">
        <x:f>'11. Trip'!I13</x:f>
        <x:v>67150</x:v>
      </x:c>
      <x:c r="H100" s="958">
        <x:f>'11. Trip'!J13</x:f>
        <x:v>67150</x:v>
      </x:c>
      <x:c r="I100" s="958">
        <x:f>'11. Trip'!K13</x:f>
        <x:v>67150</x:v>
      </x:c>
      <x:c r="J100" s="958">
        <x:f>'11. Trip'!L13</x:f>
        <x:v>67150</x:v>
      </x:c>
      <x:c r="K100" s="958">
        <x:f>'11. Trip'!M13</x:f>
        <x:v>67150</x:v>
      </x:c>
      <x:c r="L100" s="958">
        <x:f>'11. Trip'!N13</x:f>
        <x:v>67150</x:v>
      </x:c>
      <x:c r="M100" s="958">
        <x:f>'11. Trip'!O13</x:f>
        <x:v>905650</x:v>
      </x:c>
      <x:c r="N100" s="1024"/>
      <x:c r="O100" s="962"/>
      <x:c r="P100" s="963"/>
    </x:row>
    <x:row r="101" spans="1:18" ht="16.899999999999999" customHeight="1">
      <x:c r="B101" s="964"/>
      <x:c r="C101" s="964"/>
      <x:c r="D101" s="964"/>
      <x:c r="E101" s="964"/>
      <x:c r="F101" s="964"/>
      <x:c r="G101" s="964"/>
      <x:c r="H101" s="964"/>
      <x:c r="I101" s="964"/>
      <x:c r="J101" s="964"/>
      <x:c r="K101" s="964"/>
      <x:c r="L101" s="964"/>
      <x:c r="M101" s="964"/>
      <x:c r="O101" s="965"/>
      <x:c r="P101" s="966"/>
    </x:row>
    <x:row r="102" spans="1:18" ht="16.899999999999999" customHeight="1">
      <x:c r="A102" s="1022" t="s">
        <x:v>81</x:v>
      </x:c>
      <x:c r="B102" s="968">
        <x:f>SUM(B103:B104)</x:f>
        <x:v>105000</x:v>
      </x:c>
      <x:c r="C102" s="968">
        <x:f t="shared" ref="C102:M102" si="16">SUM(C103:C104)</x:f>
        <x:v>105000</x:v>
      </x:c>
      <x:c r="D102" s="968">
        <x:f t="shared" si="16"/>
        <x:v>105000</x:v>
      </x:c>
      <x:c r="E102" s="968">
        <x:f t="shared" si="16"/>
        <x:v>105000</x:v>
      </x:c>
      <x:c r="F102" s="968">
        <x:f t="shared" si="16"/>
        <x:v>105000</x:v>
      </x:c>
      <x:c r="G102" s="968">
        <x:f t="shared" si="16"/>
        <x:v>105000</x:v>
      </x:c>
      <x:c r="H102" s="968">
        <x:f t="shared" si="16"/>
        <x:v>105000</x:v>
      </x:c>
      <x:c r="I102" s="968">
        <x:f t="shared" si="16"/>
        <x:v>105000</x:v>
      </x:c>
      <x:c r="J102" s="968">
        <x:f t="shared" si="16"/>
        <x:v>105000</x:v>
      </x:c>
      <x:c r="K102" s="968">
        <x:f t="shared" si="16"/>
        <x:v>105000</x:v>
      </x:c>
      <x:c r="L102" s="968">
        <x:f t="shared" si="16"/>
        <x:v>105000</x:v>
      </x:c>
      <x:c r="M102" s="968">
        <x:f t="shared" si="16"/>
        <x:v>105000</x:v>
      </x:c>
      <x:c r="O102" s="969"/>
      <x:c r="P102" s="970"/>
      <x:c r="R102" s="964">
        <x:f>+SUM(B102:M102)</x:f>
        <x:v>1260000</x:v>
      </x:c>
    </x:row>
    <x:row r="103" spans="1:18" ht="16.899999999999999" customHeight="1">
      <x:c r="A103" s="1023" t="s">
        <x:v>82</x:v>
      </x:c>
      <x:c r="B103" s="958">
        <x:f>SUM('6. Social Benefit-2'!D22,'6. Social Benefit-2'!D23,'6. Social Benefit-2'!D24)</x:f>
        <x:v>105000</x:v>
      </x:c>
      <x:c r="C103" s="958">
        <x:f>SUM('6. Social Benefit-2'!E22,'6. Social Benefit-2'!E23,'6. Social Benefit-2'!E24)</x:f>
        <x:v>105000</x:v>
      </x:c>
      <x:c r="D103" s="958">
        <x:f>SUM('6. Social Benefit-2'!F22,'6. Social Benefit-2'!F23,'6. Social Benefit-2'!F24)</x:f>
        <x:v>105000</x:v>
      </x:c>
      <x:c r="E103" s="958">
        <x:f>SUM('6. Social Benefit-2'!G22,'6. Social Benefit-2'!G23,'6. Social Benefit-2'!G24)</x:f>
        <x:v>105000</x:v>
      </x:c>
      <x:c r="F103" s="958">
        <x:f>SUM('6. Social Benefit-2'!H22,'6. Social Benefit-2'!H23,'6. Social Benefit-2'!H24)</x:f>
        <x:v>105000</x:v>
      </x:c>
      <x:c r="G103" s="958">
        <x:f>SUM('6. Social Benefit-2'!I22,'6. Social Benefit-2'!I23,'6. Social Benefit-2'!I24)</x:f>
        <x:v>105000</x:v>
      </x:c>
      <x:c r="H103" s="958">
        <x:f>SUM('6. Social Benefit-2'!J22,'6. Social Benefit-2'!J23,'6. Social Benefit-2'!J24)</x:f>
        <x:v>105000</x:v>
      </x:c>
      <x:c r="I103" s="958">
        <x:f>SUM('6. Social Benefit-2'!K22,'6. Social Benefit-2'!K23,'6. Social Benefit-2'!K24)</x:f>
        <x:v>105000</x:v>
      </x:c>
      <x:c r="J103" s="958">
        <x:f>SUM('6. Social Benefit-2'!L22,'6. Social Benefit-2'!L23,'6. Social Benefit-2'!L24)</x:f>
        <x:v>105000</x:v>
      </x:c>
      <x:c r="K103" s="958">
        <x:f>SUM('6. Social Benefit-2'!M22,'6. Social Benefit-2'!M23,'6. Social Benefit-2'!M24)</x:f>
        <x:v>105000</x:v>
      </x:c>
      <x:c r="L103" s="958">
        <x:f>SUM('6. Social Benefit-2'!N22,'6. Social Benefit-2'!N23,'6. Social Benefit-2'!N24)</x:f>
        <x:v>105000</x:v>
      </x:c>
      <x:c r="M103" s="958">
        <x:f>SUM('6. Social Benefit-2'!O22,'6. Social Benefit-2'!O23,'6. Social Benefit-2'!O24)</x:f>
        <x:v>105000</x:v>
      </x:c>
      <x:c r="N103" s="1024"/>
      <x:c r="O103" s="959" t="s">
        <x:v>1228</x:v>
      </x:c>
      <x:c r="P103" s="983" t="s">
        <x:v>1224</x:v>
      </x:c>
      <x:c r="R103" s="1025">
        <x:f>+R102-SUM(B103:M104)</x:f>
        <x:v>0</x:v>
      </x:c>
    </x:row>
    <x:row r="104" spans="1:18" ht="16.899999999999999" customHeight="1">
      <x:c r="A104" s="1026" t="s">
        <x:v>83</x:v>
      </x:c>
      <x:c r="B104" s="961"/>
      <x:c r="C104" s="961"/>
      <x:c r="D104" s="961"/>
      <x:c r="E104" s="961"/>
      <x:c r="F104" s="961"/>
      <x:c r="G104" s="961"/>
      <x:c r="H104" s="961"/>
      <x:c r="I104" s="961"/>
      <x:c r="J104" s="961"/>
      <x:c r="K104" s="961"/>
      <x:c r="L104" s="961"/>
      <x:c r="M104" s="961"/>
      <x:c r="N104" s="1024"/>
      <x:c r="O104" s="962"/>
      <x:c r="P104" s="963"/>
    </x:row>
    <x:row r="105" spans="1:18" ht="16.899999999999999" customHeight="1">
      <x:c r="B105" s="964"/>
      <x:c r="C105" s="964"/>
      <x:c r="D105" s="964"/>
      <x:c r="E105" s="964"/>
      <x:c r="F105" s="964"/>
      <x:c r="G105" s="964"/>
      <x:c r="H105" s="964"/>
      <x:c r="I105" s="964"/>
      <x:c r="J105" s="964"/>
      <x:c r="K105" s="964"/>
      <x:c r="L105" s="964"/>
      <x:c r="M105" s="964"/>
      <x:c r="O105" s="965"/>
      <x:c r="P105" s="966"/>
    </x:row>
    <x:row r="106" spans="1:18" ht="16.899999999999999" customHeight="1">
      <x:c r="A106" s="1022" t="s">
        <x:v>84</x:v>
      </x:c>
      <x:c r="B106" s="968">
        <x:f>SUM(B107:B109)</x:f>
        <x:v>0</x:v>
      </x:c>
      <x:c r="C106" s="968">
        <x:f t="shared" ref="C106:M106" si="17">SUM(C107:C109)</x:f>
        <x:v>0</x:v>
      </x:c>
      <x:c r="D106" s="968">
        <x:f t="shared" si="17"/>
        <x:v>0</x:v>
      </x:c>
      <x:c r="E106" s="968">
        <x:f t="shared" si="17"/>
        <x:v>0</x:v>
      </x:c>
      <x:c r="F106" s="968">
        <x:f t="shared" si="17"/>
        <x:v>0</x:v>
      </x:c>
      <x:c r="G106" s="968">
        <x:f t="shared" si="17"/>
        <x:v>0</x:v>
      </x:c>
      <x:c r="H106" s="968">
        <x:f t="shared" si="17"/>
        <x:v>0</x:v>
      </x:c>
      <x:c r="I106" s="968">
        <x:f t="shared" si="17"/>
        <x:v>0</x:v>
      </x:c>
      <x:c r="J106" s="968">
        <x:f t="shared" si="17"/>
        <x:v>0</x:v>
      </x:c>
      <x:c r="K106" s="968">
        <x:f t="shared" si="17"/>
        <x:v>0</x:v>
      </x:c>
      <x:c r="L106" s="968">
        <x:f t="shared" si="17"/>
        <x:v>0</x:v>
      </x:c>
      <x:c r="M106" s="968">
        <x:f t="shared" si="17"/>
        <x:v>0</x:v>
      </x:c>
      <x:c r="O106" s="969"/>
      <x:c r="P106" s="970"/>
      <x:c r="R106" s="964">
        <x:f>+SUM(B106:M106)</x:f>
        <x:v>0</x:v>
      </x:c>
    </x:row>
    <x:row r="107" spans="1:18" ht="16.899999999999999" customHeight="1">
      <x:c r="A107" s="1023" t="s">
        <x:v>85</x:v>
      </x:c>
      <x:c r="B107" s="958"/>
      <x:c r="C107" s="958"/>
      <x:c r="D107" s="958"/>
      <x:c r="E107" s="958"/>
      <x:c r="F107" s="958"/>
      <x:c r="G107" s="958"/>
      <x:c r="H107" s="958"/>
      <x:c r="I107" s="958"/>
      <x:c r="J107" s="958"/>
      <x:c r="K107" s="958"/>
      <x:c r="L107" s="958"/>
      <x:c r="M107" s="958"/>
      <x:c r="N107" s="1024"/>
      <x:c r="O107" s="959"/>
      <x:c r="P107" s="960"/>
      <x:c r="R107" s="1025">
        <x:f>+R106-SUM(B107:M109)</x:f>
        <x:v>0</x:v>
      </x:c>
    </x:row>
    <x:row r="108" spans="1:18" ht="16.899999999999999" customHeight="1">
      <x:c r="A108" s="1023" t="s">
        <x:v>86</x:v>
      </x:c>
      <x:c r="B108" s="958"/>
      <x:c r="C108" s="958"/>
      <x:c r="D108" s="958"/>
      <x:c r="E108" s="958"/>
      <x:c r="F108" s="958"/>
      <x:c r="G108" s="958"/>
      <x:c r="H108" s="958"/>
      <x:c r="I108" s="958"/>
      <x:c r="J108" s="958"/>
      <x:c r="K108" s="958"/>
      <x:c r="L108" s="958"/>
      <x:c r="M108" s="958"/>
      <x:c r="N108" s="1024"/>
      <x:c r="O108" s="959"/>
      <x:c r="P108" s="960"/>
    </x:row>
    <x:row r="109" spans="1:18" ht="16.899999999999999" customHeight="1">
      <x:c r="A109" s="1026" t="s">
        <x:v>87</x:v>
      </x:c>
      <x:c r="B109" s="961"/>
      <x:c r="C109" s="961"/>
      <x:c r="D109" s="961"/>
      <x:c r="E109" s="961"/>
      <x:c r="F109" s="961"/>
      <x:c r="G109" s="961"/>
      <x:c r="H109" s="961"/>
      <x:c r="I109" s="961"/>
      <x:c r="J109" s="961"/>
      <x:c r="K109" s="961"/>
      <x:c r="L109" s="961"/>
      <x:c r="M109" s="961"/>
      <x:c r="N109" s="1024"/>
      <x:c r="O109" s="959"/>
      <x:c r="P109" s="960"/>
    </x:row>
    <x:row r="110" spans="1:18" ht="16.899999999999999" customHeight="1">
      <x:c r="B110" s="964"/>
      <x:c r="C110" s="964"/>
      <x:c r="D110" s="964"/>
      <x:c r="E110" s="964"/>
      <x:c r="F110" s="964"/>
      <x:c r="G110" s="964"/>
      <x:c r="H110" s="964"/>
      <x:c r="I110" s="964"/>
      <x:c r="J110" s="964"/>
      <x:c r="K110" s="964"/>
      <x:c r="L110" s="964"/>
      <x:c r="M110" s="964"/>
      <x:c r="O110" s="965"/>
      <x:c r="P110" s="966"/>
    </x:row>
    <x:row r="111" spans="1:18" ht="16.899999999999999" customHeight="1">
      <x:c r="A111" s="1022" t="s">
        <x:v>88</x:v>
      </x:c>
      <x:c r="B111" s="968">
        <x:f>SUM(B112:B113)</x:f>
        <x:v>22928.1</x:v>
      </x:c>
      <x:c r="C111" s="968">
        <x:f t="shared" ref="C111:M111" si="18">SUM(C112:C113)</x:f>
        <x:v>22928.1</x:v>
      </x:c>
      <x:c r="D111" s="968">
        <x:f t="shared" si="18"/>
        <x:v>22928.1</x:v>
      </x:c>
      <x:c r="E111" s="968">
        <x:f t="shared" si="18"/>
        <x:v>22928.1</x:v>
      </x:c>
      <x:c r="F111" s="968">
        <x:f t="shared" si="18"/>
        <x:v>22928.1</x:v>
      </x:c>
      <x:c r="G111" s="968">
        <x:f t="shared" si="18"/>
        <x:v>22928.1</x:v>
      </x:c>
      <x:c r="H111" s="968">
        <x:f t="shared" si="18"/>
        <x:v>22928.1</x:v>
      </x:c>
      <x:c r="I111" s="968">
        <x:f t="shared" si="18"/>
        <x:v>22928.1</x:v>
      </x:c>
      <x:c r="J111" s="968">
        <x:f t="shared" si="18"/>
        <x:v>22928.1</x:v>
      </x:c>
      <x:c r="K111" s="968">
        <x:f t="shared" si="18"/>
        <x:v>22928.1</x:v>
      </x:c>
      <x:c r="L111" s="968">
        <x:f t="shared" si="18"/>
        <x:v>22928.1</x:v>
      </x:c>
      <x:c r="M111" s="968">
        <x:f t="shared" si="18"/>
        <x:v>22928.1</x:v>
      </x:c>
      <x:c r="O111" s="969"/>
      <x:c r="P111" s="970"/>
      <x:c r="R111" s="964">
        <x:f>+SUM(B111:M111)</x:f>
        <x:v>275137.2</x:v>
      </x:c>
    </x:row>
    <x:row r="112" spans="1:18" ht="16.899999999999999" customHeight="1">
      <x:c r="A112" s="1023" t="s">
        <x:v>89</x:v>
      </x:c>
      <x:c r="B112" s="958">
        <x:f>'10. Warehouse'!E6+'10. Warehouse'!E7</x:f>
        <x:v>22928.1</x:v>
      </x:c>
      <x:c r="C112" s="958">
        <x:f>'10. Warehouse'!F6+'10. Warehouse'!F7</x:f>
        <x:v>22928.1</x:v>
      </x:c>
      <x:c r="D112" s="958">
        <x:f>'10. Warehouse'!G6+'10. Warehouse'!G7</x:f>
        <x:v>22928.1</x:v>
      </x:c>
      <x:c r="E112" s="958">
        <x:f>'10. Warehouse'!H6+'10. Warehouse'!H7</x:f>
        <x:v>22928.1</x:v>
      </x:c>
      <x:c r="F112" s="958">
        <x:f>'10. Warehouse'!I6+'10. Warehouse'!I7</x:f>
        <x:v>22928.1</x:v>
      </x:c>
      <x:c r="G112" s="958">
        <x:f>'10. Warehouse'!J6+'10. Warehouse'!J7</x:f>
        <x:v>22928.1</x:v>
      </x:c>
      <x:c r="H112" s="958">
        <x:f>'10. Warehouse'!K6+'10. Warehouse'!K7</x:f>
        <x:v>22928.1</x:v>
      </x:c>
      <x:c r="I112" s="958">
        <x:f>'10. Warehouse'!L6+'10. Warehouse'!L7</x:f>
        <x:v>22928.1</x:v>
      </x:c>
      <x:c r="J112" s="958">
        <x:f>'10. Warehouse'!M6+'10. Warehouse'!M7</x:f>
        <x:v>22928.1</x:v>
      </x:c>
      <x:c r="K112" s="958">
        <x:f>'10. Warehouse'!N6+'10. Warehouse'!N7</x:f>
        <x:v>22928.1</x:v>
      </x:c>
      <x:c r="L112" s="958">
        <x:f>'10. Warehouse'!O6+'10. Warehouse'!O7</x:f>
        <x:v>22928.1</x:v>
      </x:c>
      <x:c r="M112" s="958">
        <x:f>'10. Warehouse'!P6+'10. Warehouse'!P7</x:f>
        <x:v>22928.1</x:v>
      </x:c>
      <x:c r="N112" s="1024"/>
      <x:c r="O112" s="959" t="s">
        <x:v>1230</x:v>
      </x:c>
      <x:c r="P112" s="960"/>
      <x:c r="R112" s="1025">
        <x:f>+R111-SUM(B112:M113)</x:f>
        <x:v>0</x:v>
      </x:c>
    </x:row>
    <x:row r="113" spans="1:18" ht="16.899999999999999" customHeight="1">
      <x:c r="A113" s="1026" t="s">
        <x:v>90</x:v>
      </x:c>
      <x:c r="B113" s="961"/>
      <x:c r="C113" s="961"/>
      <x:c r="D113" s="961"/>
      <x:c r="E113" s="961"/>
      <x:c r="F113" s="961"/>
      <x:c r="G113" s="961"/>
      <x:c r="H113" s="961"/>
      <x:c r="I113" s="961"/>
      <x:c r="J113" s="961"/>
      <x:c r="K113" s="961"/>
      <x:c r="L113" s="961"/>
      <x:c r="M113" s="961"/>
      <x:c r="N113" s="1024"/>
      <x:c r="O113" s="962"/>
      <x:c r="P113" s="963"/>
    </x:row>
    <x:row r="114" spans="1:18" ht="16.899999999999999" customHeight="1">
      <x:c r="B114" s="964"/>
      <x:c r="C114" s="964"/>
      <x:c r="D114" s="964"/>
      <x:c r="E114" s="964"/>
      <x:c r="F114" s="964"/>
      <x:c r="G114" s="964"/>
      <x:c r="H114" s="964"/>
      <x:c r="I114" s="964"/>
      <x:c r="J114" s="964"/>
      <x:c r="K114" s="964"/>
      <x:c r="L114" s="964"/>
      <x:c r="M114" s="964"/>
      <x:c r="O114" s="965"/>
      <x:c r="P114" s="966"/>
    </x:row>
    <x:row r="115" spans="1:18" ht="16.899999999999999" customHeight="1">
      <x:c r="A115" s="1022" t="s">
        <x:v>91</x:v>
      </x:c>
      <x:c r="B115" s="986">
        <x:f>SUM(B116:B120)</x:f>
        <x:v>48000</x:v>
      </x:c>
      <x:c r="C115" s="986">
        <x:f t="shared" ref="C115:M115" si="19">SUM(C116:C120)</x:f>
        <x:v>46000</x:v>
      </x:c>
      <x:c r="D115" s="986">
        <x:f t="shared" si="19"/>
        <x:v>46000</x:v>
      </x:c>
      <x:c r="E115" s="986">
        <x:f t="shared" si="19"/>
        <x:v>46000</x:v>
      </x:c>
      <x:c r="F115" s="986">
        <x:f t="shared" si="19"/>
        <x:v>46000</x:v>
      </x:c>
      <x:c r="G115" s="986">
        <x:f t="shared" si="19"/>
        <x:v>46000</x:v>
      </x:c>
      <x:c r="H115" s="986">
        <x:f t="shared" si="19"/>
        <x:v>46000</x:v>
      </x:c>
      <x:c r="I115" s="986">
        <x:f t="shared" si="19"/>
        <x:v>46000</x:v>
      </x:c>
      <x:c r="J115" s="986">
        <x:f t="shared" si="19"/>
        <x:v>46000</x:v>
      </x:c>
      <x:c r="K115" s="986">
        <x:f t="shared" si="19"/>
        <x:v>46000</x:v>
      </x:c>
      <x:c r="L115" s="986">
        <x:f t="shared" si="19"/>
        <x:v>46000</x:v>
      </x:c>
      <x:c r="M115" s="986">
        <x:f t="shared" si="19"/>
        <x:v>46000</x:v>
      </x:c>
      <x:c r="O115" s="987"/>
      <x:c r="P115" s="988"/>
      <x:c r="R115" s="964">
        <x:f>+SUM(B115:M115)</x:f>
        <x:v>554000</x:v>
      </x:c>
    </x:row>
    <x:row r="116" spans="1:18" ht="16.899999999999999" customHeight="1">
      <x:c r="A116" s="1033" t="s">
        <x:v>92</x:v>
      </x:c>
      <x:c r="B116" s="989">
        <x:f>'6. Social Benefit-2'!D5</x:f>
        <x:v>22000</x:v>
      </x:c>
      <x:c r="C116" s="990">
        <x:f>'6. Social Benefit-2'!E5</x:f>
        <x:v>20000</x:v>
      </x:c>
      <x:c r="D116" s="990">
        <x:f>'6. Social Benefit-2'!F5</x:f>
        <x:v>20000</x:v>
      </x:c>
      <x:c r="E116" s="990">
        <x:f>'6. Social Benefit-2'!G5</x:f>
        <x:v>20000</x:v>
      </x:c>
      <x:c r="F116" s="990">
        <x:f>'6. Social Benefit-2'!H5</x:f>
        <x:v>20000</x:v>
      </x:c>
      <x:c r="G116" s="990">
        <x:f>'6. Social Benefit-2'!I5</x:f>
        <x:v>20000</x:v>
      </x:c>
      <x:c r="H116" s="990">
        <x:f>'6. Social Benefit-2'!J5</x:f>
        <x:v>20000</x:v>
      </x:c>
      <x:c r="I116" s="990">
        <x:f>'6. Social Benefit-2'!K5</x:f>
        <x:v>20000</x:v>
      </x:c>
      <x:c r="J116" s="990">
        <x:f>'6. Social Benefit-2'!L5</x:f>
        <x:v>20000</x:v>
      </x:c>
      <x:c r="K116" s="990">
        <x:f>'6. Social Benefit-2'!M5</x:f>
        <x:v>20000</x:v>
      </x:c>
      <x:c r="L116" s="990">
        <x:f>'6. Social Benefit-2'!N5</x:f>
        <x:v>20000</x:v>
      </x:c>
      <x:c r="M116" s="991">
        <x:f>'6. Social Benefit-2'!O5</x:f>
        <x:v>20000</x:v>
      </x:c>
      <x:c r="N116" s="1024"/>
      <x:c r="O116" s="992" t="s">
        <x:v>1229</x:v>
      </x:c>
      <x:c r="P116" s="993" t="s">
        <x:v>1232</x:v>
      </x:c>
      <x:c r="R116" s="1025">
        <x:f>+R115-SUM(B116:M120)</x:f>
        <x:v>0</x:v>
      </x:c>
    </x:row>
    <x:row r="117" spans="1:18" ht="16.899999999999999" customHeight="1">
      <x:c r="A117" s="1033" t="s">
        <x:v>93</x:v>
      </x:c>
      <x:c r="B117" s="989"/>
      <x:c r="C117" s="990"/>
      <x:c r="D117" s="990"/>
      <x:c r="E117" s="990"/>
      <x:c r="F117" s="990"/>
      <x:c r="G117" s="990"/>
      <x:c r="H117" s="990"/>
      <x:c r="I117" s="990"/>
      <x:c r="J117" s="990"/>
      <x:c r="K117" s="990"/>
      <x:c r="L117" s="990"/>
      <x:c r="M117" s="991"/>
      <x:c r="N117" s="1024"/>
      <x:c r="O117" s="992"/>
      <x:c r="P117" s="994" t="s">
        <x:v>1224</x:v>
      </x:c>
    </x:row>
    <x:row r="118" spans="1:18" ht="16.899999999999999" customHeight="1">
      <x:c r="A118" s="1033" t="s">
        <x:v>94</x:v>
      </x:c>
      <x:c r="B118" s="989"/>
      <x:c r="C118" s="990"/>
      <x:c r="D118" s="990"/>
      <x:c r="E118" s="990"/>
      <x:c r="F118" s="990"/>
      <x:c r="G118" s="990"/>
      <x:c r="H118" s="990"/>
      <x:c r="I118" s="990"/>
      <x:c r="J118" s="990"/>
      <x:c r="K118" s="990"/>
      <x:c r="L118" s="990"/>
      <x:c r="M118" s="991"/>
      <x:c r="N118" s="1024"/>
      <x:c r="O118" s="992"/>
      <x:c r="P118" s="994" t="s">
        <x:v>1224</x:v>
      </x:c>
    </x:row>
    <x:row r="119" spans="1:18" ht="16.899999999999999" customHeight="1">
      <x:c r="A119" s="953" t="s">
        <x:v>1496</x:v>
      </x:c>
      <x:c r="B119" s="989">
        <x:f>SUM('6. Social Benefit-2'!D6,'6. Social Benefit-2'!D7,'6. Social Benefit-2'!D8,'6. Social Benefit-2'!D9)</x:f>
        <x:v>26000</x:v>
      </x:c>
      <x:c r="C119" s="990">
        <x:f>SUM('6. Social Benefit-2'!E6,'6. Social Benefit-2'!E7,'6. Social Benefit-2'!E8,'6. Social Benefit-2'!E9)</x:f>
        <x:v>26000</x:v>
      </x:c>
      <x:c r="D119" s="990">
        <x:f>SUM('6. Social Benefit-2'!F6,'6. Social Benefit-2'!F7,'6. Social Benefit-2'!F8,'6. Social Benefit-2'!F9)</x:f>
        <x:v>26000</x:v>
      </x:c>
      <x:c r="E119" s="990">
        <x:f>SUM('6. Social Benefit-2'!G6,'6. Social Benefit-2'!G7,'6. Social Benefit-2'!G8,'6. Social Benefit-2'!G9)</x:f>
        <x:v>26000</x:v>
      </x:c>
      <x:c r="F119" s="990">
        <x:f>SUM('6. Social Benefit-2'!H6,'6. Social Benefit-2'!H7,'6. Social Benefit-2'!H8,'6. Social Benefit-2'!H9)</x:f>
        <x:v>26000</x:v>
      </x:c>
      <x:c r="G119" s="990">
        <x:f>SUM('6. Social Benefit-2'!I6,'6. Social Benefit-2'!I7,'6. Social Benefit-2'!I8,'6. Social Benefit-2'!I9)</x:f>
        <x:v>26000</x:v>
      </x:c>
      <x:c r="H119" s="990">
        <x:f>SUM('6. Social Benefit-2'!J6,'6. Social Benefit-2'!J7,'6. Social Benefit-2'!J8,'6. Social Benefit-2'!J9)</x:f>
        <x:v>26000</x:v>
      </x:c>
      <x:c r="I119" s="990">
        <x:f>SUM('6. Social Benefit-2'!K6,'6. Social Benefit-2'!K7,'6. Social Benefit-2'!K8,'6. Social Benefit-2'!K9)</x:f>
        <x:v>26000</x:v>
      </x:c>
      <x:c r="J119" s="990">
        <x:f>SUM('6. Social Benefit-2'!L6,'6. Social Benefit-2'!L7,'6. Social Benefit-2'!L8,'6. Social Benefit-2'!L9)</x:f>
        <x:v>26000</x:v>
      </x:c>
      <x:c r="K119" s="990">
        <x:f>SUM('6. Social Benefit-2'!M6,'6. Social Benefit-2'!M7,'6. Social Benefit-2'!M8,'6. Social Benefit-2'!M9)</x:f>
        <x:v>26000</x:v>
      </x:c>
      <x:c r="L119" s="990">
        <x:f>SUM('6. Social Benefit-2'!N6,'6. Social Benefit-2'!N7,'6. Social Benefit-2'!N8,'6. Social Benefit-2'!N9)</x:f>
        <x:v>26000</x:v>
      </x:c>
      <x:c r="M119" s="991">
        <x:f>SUM('6. Social Benefit-2'!O6,'6. Social Benefit-2'!O7,'6. Social Benefit-2'!O8,'6. Social Benefit-2'!O9)</x:f>
        <x:v>26000</x:v>
      </x:c>
      <x:c r="N119" s="1024"/>
      <x:c r="O119" s="992" t="s">
        <x:v>1231</x:v>
      </x:c>
      <x:c r="P119" s="993" t="s">
        <x:v>1232</x:v>
      </x:c>
    </x:row>
    <x:row r="120" spans="1:18" ht="16.899999999999999" customHeight="1">
      <x:c r="A120" s="1026" t="s">
        <x:v>41</x:v>
      </x:c>
      <x:c r="B120" s="995"/>
      <x:c r="C120" s="996"/>
      <x:c r="D120" s="996"/>
      <x:c r="E120" s="996"/>
      <x:c r="F120" s="996"/>
      <x:c r="G120" s="996"/>
      <x:c r="H120" s="996"/>
      <x:c r="I120" s="996"/>
      <x:c r="J120" s="996"/>
      <x:c r="K120" s="996"/>
      <x:c r="L120" s="996"/>
      <x:c r="M120" s="997"/>
      <x:c r="N120" s="1024"/>
      <x:c r="O120" s="998"/>
      <x:c r="P120" s="999"/>
    </x:row>
    <x:row r="121" spans="1:18" ht="16.899999999999999" customHeight="1">
      <x:c r="B121" s="964"/>
      <x:c r="C121" s="964"/>
      <x:c r="D121" s="964"/>
      <x:c r="E121" s="964"/>
      <x:c r="F121" s="964"/>
      <x:c r="G121" s="964"/>
      <x:c r="H121" s="964"/>
      <x:c r="I121" s="964"/>
      <x:c r="J121" s="964"/>
      <x:c r="K121" s="964"/>
      <x:c r="L121" s="964"/>
      <x:c r="M121" s="964"/>
      <x:c r="O121" s="965"/>
      <x:c r="P121" s="966"/>
    </x:row>
    <x:row r="122" spans="1:18" ht="16.899999999999999" customHeight="1">
      <x:c r="A122" s="1031" t="s">
        <x:v>1067</x:v>
      </x:c>
      <x:c r="B122" s="981"/>
      <x:c r="C122" s="981"/>
      <x:c r="D122" s="981"/>
      <x:c r="E122" s="981"/>
      <x:c r="F122" s="981"/>
      <x:c r="G122" s="981"/>
      <x:c r="H122" s="981"/>
      <x:c r="I122" s="981"/>
      <x:c r="J122" s="981"/>
      <x:c r="K122" s="981"/>
      <x:c r="L122" s="981"/>
      <x:c r="M122" s="981"/>
      <x:c r="O122" s="953"/>
      <x:c r="P122" s="878"/>
    </x:row>
    <x:row r="123" spans="1:18" ht="16.899999999999999" customHeight="1">
      <x:c r="A123" s="1030" t="s">
        <x:v>95</x:v>
      </x:c>
      <x:c r="B123" s="976">
        <x:f>+SUM(B124:B130)</x:f>
        <x:v>51500</x:v>
      </x:c>
      <x:c r="C123" s="976">
        <x:f t="shared" ref="C123:M123" si="20">+SUM(C124:C130)</x:f>
        <x:v>51500</x:v>
      </x:c>
      <x:c r="D123" s="976">
        <x:f t="shared" si="20"/>
        <x:v>66500</x:v>
      </x:c>
      <x:c r="E123" s="976">
        <x:f t="shared" si="20"/>
        <x:v>51500</x:v>
      </x:c>
      <x:c r="F123" s="976">
        <x:f t="shared" si="20"/>
        <x:v>51500</x:v>
      </x:c>
      <x:c r="G123" s="976">
        <x:f t="shared" si="20"/>
        <x:v>51500</x:v>
      </x:c>
      <x:c r="H123" s="976">
        <x:f t="shared" si="20"/>
        <x:v>51500</x:v>
      </x:c>
      <x:c r="I123" s="976">
        <x:f t="shared" si="20"/>
        <x:v>51500</x:v>
      </x:c>
      <x:c r="J123" s="976">
        <x:f t="shared" si="20"/>
        <x:v>51500</x:v>
      </x:c>
      <x:c r="K123" s="976">
        <x:f t="shared" si="20"/>
        <x:v>51500</x:v>
      </x:c>
      <x:c r="L123" s="976">
        <x:f t="shared" si="20"/>
        <x:v>51500</x:v>
      </x:c>
      <x:c r="M123" s="976">
        <x:f t="shared" si="20"/>
        <x:v>51500</x:v>
      </x:c>
      <x:c r="O123" s="977"/>
      <x:c r="P123" s="978"/>
      <x:c r="R123" s="964">
        <x:f>+SUM(B123:M123)</x:f>
        <x:v>633000</x:v>
      </x:c>
    </x:row>
    <x:row r="124" spans="1:18" ht="16.899999999999999" customHeight="1">
      <x:c r="A124" s="1023" t="s">
        <x:v>96</x:v>
      </x:c>
      <x:c r="B124" s="958"/>
      <x:c r="C124" s="958"/>
      <x:c r="E124" s="958"/>
      <x:c r="F124" s="958"/>
      <x:c r="G124" s="958"/>
      <x:c r="H124" s="958"/>
      <x:c r="I124" s="958"/>
      <x:c r="J124" s="958"/>
      <x:c r="K124" s="958"/>
      <x:c r="L124" s="958"/>
      <x:c r="M124" s="958"/>
      <x:c r="N124" s="1024"/>
      <x:c r="O124" s="959"/>
      <x:c r="P124" s="960" t="s">
        <x:v>1232</x:v>
      </x:c>
      <x:c r="R124" s="1025">
        <x:f>+R123-SUM(B124:M130)</x:f>
        <x:v>0</x:v>
      </x:c>
    </x:row>
    <x:row r="125" spans="1:18" ht="16.899999999999999" customHeight="1">
      <x:c r="A125" s="1023" t="s">
        <x:v>97</x:v>
      </x:c>
      <x:c r="B125" s="958">
        <x:f>+SUM('7. Commucation '!D36:D37)</x:f>
        <x:v>0</x:v>
      </x:c>
      <x:c r="C125" s="958">
        <x:f>+SUM('7. Commucation '!E36:E37)</x:f>
        <x:v>0</x:v>
      </x:c>
      <x:c r="D125" s="958">
        <x:f>+SUM('7. Commucation '!F36:F37)</x:f>
        <x:v>15000</x:v>
      </x:c>
      <x:c r="E125" s="958">
        <x:f>+SUM('7. Commucation '!G36:G37)</x:f>
        <x:v>0</x:v>
      </x:c>
      <x:c r="F125" s="958">
        <x:f>+SUM('7. Commucation '!H36:H37)</x:f>
        <x:v>0</x:v>
      </x:c>
      <x:c r="G125" s="958">
        <x:f>+SUM('7. Commucation '!I36:I37)</x:f>
        <x:v>0</x:v>
      </x:c>
      <x:c r="H125" s="958">
        <x:f>+SUM('7. Commucation '!J36:J37)</x:f>
        <x:v>0</x:v>
      </x:c>
      <x:c r="I125" s="958">
        <x:f>+SUM('7. Commucation '!K36:K37)</x:f>
        <x:v>0</x:v>
      </x:c>
      <x:c r="J125" s="958">
        <x:f>+SUM('7. Commucation '!L36:L37)</x:f>
        <x:v>0</x:v>
      </x:c>
      <x:c r="K125" s="958">
        <x:f>+SUM('7. Commucation '!M36:M37)</x:f>
        <x:v>0</x:v>
      </x:c>
      <x:c r="L125" s="958">
        <x:f>+SUM('7. Commucation '!N36:N37)</x:f>
        <x:v>0</x:v>
      </x:c>
      <x:c r="M125" s="958">
        <x:f>+SUM('7. Commucation '!O36:O37)</x:f>
        <x:v>0</x:v>
      </x:c>
      <x:c r="N125" s="1024"/>
      <x:c r="O125" s="959" t="s">
        <x:v>1497</x:v>
      </x:c>
      <x:c r="P125" s="960" t="s">
        <x:v>1232</x:v>
      </x:c>
    </x:row>
    <x:row r="126" spans="1:18" ht="16.899999999999999" customHeight="1">
      <x:c r="A126" s="1023" t="s">
        <x:v>1492</x:v>
      </x:c>
      <x:c r="B126" s="958"/>
      <x:c r="C126" s="958"/>
      <x:c r="D126" s="958"/>
      <x:c r="E126" s="958"/>
      <x:c r="F126" s="958"/>
      <x:c r="G126" s="958"/>
      <x:c r="H126" s="958"/>
      <x:c r="I126" s="958"/>
      <x:c r="J126" s="958"/>
      <x:c r="K126" s="958"/>
      <x:c r="L126" s="958"/>
      <x:c r="M126" s="958"/>
      <x:c r="N126" s="1024"/>
      <x:c r="O126" s="959"/>
      <x:c r="P126" s="960"/>
    </x:row>
    <x:row r="127" spans="1:18" ht="16.899999999999999" customHeight="1">
      <x:c r="A127" s="1023" t="s">
        <x:v>99</x:v>
      </x:c>
      <x:c r="B127" s="958">
        <x:f>'7. Commucation '!D28</x:f>
        <x:v>32000</x:v>
      </x:c>
      <x:c r="C127" s="958">
        <x:f>'7. Commucation '!E28</x:f>
        <x:v>32000</x:v>
      </x:c>
      <x:c r="D127" s="958">
        <x:f>'7. Commucation '!F28</x:f>
        <x:v>32000</x:v>
      </x:c>
      <x:c r="E127" s="958">
        <x:f>'7. Commucation '!G28</x:f>
        <x:v>32000</x:v>
      </x:c>
      <x:c r="F127" s="958">
        <x:f>'7. Commucation '!H28</x:f>
        <x:v>32000</x:v>
      </x:c>
      <x:c r="G127" s="958">
        <x:f>'7. Commucation '!I28</x:f>
        <x:v>32000</x:v>
      </x:c>
      <x:c r="H127" s="958">
        <x:f>'7. Commucation '!J28</x:f>
        <x:v>32000</x:v>
      </x:c>
      <x:c r="I127" s="958">
        <x:f>'7. Commucation '!K28</x:f>
        <x:v>32000</x:v>
      </x:c>
      <x:c r="J127" s="958">
        <x:f>'7. Commucation '!L28</x:f>
        <x:v>32000</x:v>
      </x:c>
      <x:c r="K127" s="958">
        <x:f>'7. Commucation '!M28</x:f>
        <x:v>32000</x:v>
      </x:c>
      <x:c r="L127" s="958">
        <x:f>'7. Commucation '!N28</x:f>
        <x:v>32000</x:v>
      </x:c>
      <x:c r="M127" s="958">
        <x:f>'7. Commucation '!O28</x:f>
        <x:v>32000</x:v>
      </x:c>
      <x:c r="N127" s="1024"/>
      <x:c r="O127" s="959" t="s">
        <x:v>1233</x:v>
      </x:c>
      <x:c r="P127" s="960" t="s">
        <x:v>1232</x:v>
      </x:c>
    </x:row>
    <x:row r="128" spans="1:18" ht="16.899999999999999" customHeight="1">
      <x:c r="A128" s="1023" t="s">
        <x:v>1493</x:v>
      </x:c>
      <x:c r="B128" s="958">
        <x:f>'7. Commucation '!D29</x:f>
        <x:v>8000</x:v>
      </x:c>
      <x:c r="C128" s="958">
        <x:f>'7. Commucation '!E29</x:f>
        <x:v>8000</x:v>
      </x:c>
      <x:c r="D128" s="958">
        <x:f>'7. Commucation '!F29</x:f>
        <x:v>8000</x:v>
      </x:c>
      <x:c r="E128" s="958">
        <x:f>'7. Commucation '!G29</x:f>
        <x:v>8000</x:v>
      </x:c>
      <x:c r="F128" s="958">
        <x:f>'7. Commucation '!H29</x:f>
        <x:v>8000</x:v>
      </x:c>
      <x:c r="G128" s="958">
        <x:f>'7. Commucation '!I29</x:f>
        <x:v>8000</x:v>
      </x:c>
      <x:c r="H128" s="958">
        <x:f>'7. Commucation '!J29</x:f>
        <x:v>8000</x:v>
      </x:c>
      <x:c r="I128" s="958">
        <x:f>'7. Commucation '!K29</x:f>
        <x:v>8000</x:v>
      </x:c>
      <x:c r="J128" s="958">
        <x:f>'7. Commucation '!L29</x:f>
        <x:v>8000</x:v>
      </x:c>
      <x:c r="K128" s="958">
        <x:f>'7. Commucation '!M29</x:f>
        <x:v>8000</x:v>
      </x:c>
      <x:c r="L128" s="958">
        <x:f>'7. Commucation '!N29</x:f>
        <x:v>8000</x:v>
      </x:c>
      <x:c r="M128" s="958">
        <x:f>'7. Commucation '!O29</x:f>
        <x:v>8000</x:v>
      </x:c>
      <x:c r="N128" s="1024"/>
      <x:c r="O128" s="959" t="s">
        <x:v>1234</x:v>
      </x:c>
      <x:c r="P128" s="960" t="s">
        <x:v>1232</x:v>
      </x:c>
    </x:row>
    <x:row r="129" spans="1:18" ht="16.899999999999999" customHeight="1">
      <x:c r="A129" s="1023" t="s">
        <x:v>101</x:v>
      </x:c>
      <x:c r="B129" s="958">
        <x:f>'7. Commucation '!D32+'7. Commucation '!D33</x:f>
        <x:v>11500</x:v>
      </x:c>
      <x:c r="C129" s="958">
        <x:f>'7. Commucation '!E32+'7. Commucation '!E33</x:f>
        <x:v>11500</x:v>
      </x:c>
      <x:c r="D129" s="958">
        <x:f>'7. Commucation '!F32+'7. Commucation '!F33</x:f>
        <x:v>11500</x:v>
      </x:c>
      <x:c r="E129" s="958">
        <x:f>'7. Commucation '!G32+'7. Commucation '!G33</x:f>
        <x:v>11500</x:v>
      </x:c>
      <x:c r="F129" s="958">
        <x:f>'7. Commucation '!H32+'7. Commucation '!H33</x:f>
        <x:v>11500</x:v>
      </x:c>
      <x:c r="G129" s="958">
        <x:f>'7. Commucation '!I32+'7. Commucation '!I33</x:f>
        <x:v>11500</x:v>
      </x:c>
      <x:c r="H129" s="958">
        <x:f>'7. Commucation '!J32+'7. Commucation '!J33</x:f>
        <x:v>11500</x:v>
      </x:c>
      <x:c r="I129" s="958">
        <x:f>'7. Commucation '!K32+'7. Commucation '!K33</x:f>
        <x:v>11500</x:v>
      </x:c>
      <x:c r="J129" s="958">
        <x:f>'7. Commucation '!L32+'7. Commucation '!L33</x:f>
        <x:v>11500</x:v>
      </x:c>
      <x:c r="K129" s="958">
        <x:f>'7. Commucation '!M32+'7. Commucation '!M33</x:f>
        <x:v>11500</x:v>
      </x:c>
      <x:c r="L129" s="958">
        <x:f>'7. Commucation '!N32+'7. Commucation '!N33</x:f>
        <x:v>11500</x:v>
      </x:c>
      <x:c r="M129" s="958">
        <x:f>'7. Commucation '!O32+'7. Commucation '!O33</x:f>
        <x:v>11500</x:v>
      </x:c>
      <x:c r="N129" s="1024"/>
      <x:c r="O129" s="959" t="s">
        <x:v>1510</x:v>
      </x:c>
      <x:c r="P129" s="960" t="s">
        <x:v>1232</x:v>
      </x:c>
    </x:row>
    <x:row r="130" spans="1:18" ht="16.899999999999999" customHeight="1">
      <x:c r="A130" s="1026" t="s">
        <x:v>41</x:v>
      </x:c>
      <x:c r="B130" s="1000"/>
      <x:c r="C130" s="1000"/>
      <x:c r="D130" s="1000"/>
      <x:c r="E130" s="1000"/>
      <x:c r="F130" s="1000"/>
      <x:c r="G130" s="1000"/>
      <x:c r="H130" s="1000"/>
      <x:c r="I130" s="1000"/>
      <x:c r="J130" s="1000"/>
      <x:c r="K130" s="1000"/>
      <x:c r="L130" s="1000"/>
      <x:c r="M130" s="1000"/>
      <x:c r="O130" s="1001"/>
      <x:c r="P130" s="1002"/>
    </x:row>
    <x:row r="131" spans="1:18" ht="16.899999999999999" customHeight="1">
      <x:c r="B131" s="964"/>
      <x:c r="C131" s="964"/>
      <x:c r="D131" s="964"/>
      <x:c r="E131" s="964"/>
      <x:c r="F131" s="964"/>
      <x:c r="G131" s="964"/>
      <x:c r="H131" s="964"/>
      <x:c r="I131" s="964"/>
      <x:c r="J131" s="964"/>
      <x:c r="K131" s="964"/>
      <x:c r="L131" s="964"/>
      <x:c r="M131" s="964"/>
      <x:c r="O131" s="965"/>
      <x:c r="P131" s="966"/>
    </x:row>
    <x:row r="132" spans="1:18" ht="16.899999999999999" customHeight="1">
      <x:c r="A132" s="1022" t="s">
        <x:v>1080</x:v>
      </x:c>
      <x:c r="B132" s="968">
        <x:f>SUM(B133:B139)</x:f>
        <x:v>0</x:v>
      </x:c>
      <x:c r="C132" s="968">
        <x:f t="shared" ref="C132:M132" si="21">SUM(C133:C139)</x:f>
        <x:v>0</x:v>
      </x:c>
      <x:c r="D132" s="968">
        <x:f t="shared" si="21"/>
        <x:v>0</x:v>
      </x:c>
      <x:c r="E132" s="968">
        <x:f t="shared" si="21"/>
        <x:v>0</x:v>
      </x:c>
      <x:c r="F132" s="968">
        <x:f t="shared" si="21"/>
        <x:v>0</x:v>
      </x:c>
      <x:c r="G132" s="968">
        <x:f t="shared" si="21"/>
        <x:v>0</x:v>
      </x:c>
      <x:c r="H132" s="968">
        <x:f t="shared" si="21"/>
        <x:v>0</x:v>
      </x:c>
      <x:c r="I132" s="968">
        <x:f t="shared" si="21"/>
        <x:v>0</x:v>
      </x:c>
      <x:c r="J132" s="968">
        <x:f t="shared" si="21"/>
        <x:v>0</x:v>
      </x:c>
      <x:c r="K132" s="968">
        <x:f t="shared" si="21"/>
        <x:v>0</x:v>
      </x:c>
      <x:c r="L132" s="968">
        <x:f t="shared" si="21"/>
        <x:v>0</x:v>
      </x:c>
      <x:c r="M132" s="968">
        <x:f t="shared" si="21"/>
        <x:v>0</x:v>
      </x:c>
      <x:c r="O132" s="969"/>
      <x:c r="P132" s="970"/>
      <x:c r="R132" s="964">
        <x:f>+SUM(B132:M132)</x:f>
        <x:v>0</x:v>
      </x:c>
    </x:row>
    <x:row r="133" spans="1:18" ht="16.899999999999999" customHeight="1">
      <x:c r="A133" s="1023" t="s">
        <x:v>96</x:v>
      </x:c>
      <x:c r="B133" s="958"/>
      <x:c r="C133" s="958"/>
      <x:c r="D133" s="958"/>
      <x:c r="E133" s="958"/>
      <x:c r="F133" s="958"/>
      <x:c r="G133" s="958"/>
      <x:c r="H133" s="958"/>
      <x:c r="I133" s="958"/>
      <x:c r="J133" s="958"/>
      <x:c r="K133" s="958"/>
      <x:c r="L133" s="958"/>
      <x:c r="M133" s="958"/>
      <x:c r="N133" s="1024"/>
      <x:c r="O133" s="959"/>
      <x:c r="P133" s="960"/>
      <x:c r="R133" s="1025">
        <x:f>+R132-SUM(B133:M139)</x:f>
        <x:v>0</x:v>
      </x:c>
    </x:row>
    <x:row r="134" spans="1:18" ht="16.899999999999999" customHeight="1">
      <x:c r="A134" s="1023" t="s">
        <x:v>97</x:v>
      </x:c>
      <x:c r="B134" s="958"/>
      <x:c r="C134" s="958"/>
      <x:c r="D134" s="958"/>
      <x:c r="E134" s="958"/>
      <x:c r="F134" s="958"/>
      <x:c r="G134" s="958"/>
      <x:c r="H134" s="958"/>
      <x:c r="I134" s="958"/>
      <x:c r="J134" s="958"/>
      <x:c r="K134" s="958"/>
      <x:c r="L134" s="958"/>
      <x:c r="M134" s="958"/>
      <x:c r="N134" s="1024"/>
      <x:c r="O134" s="959"/>
      <x:c r="P134" s="960"/>
    </x:row>
    <x:row r="135" spans="1:18" ht="16.899999999999999" customHeight="1">
      <x:c r="A135" s="1023" t="s">
        <x:v>98</x:v>
      </x:c>
      <x:c r="B135" s="958"/>
      <x:c r="C135" s="958"/>
      <x:c r="D135" s="958"/>
      <x:c r="E135" s="958"/>
      <x:c r="F135" s="958"/>
      <x:c r="G135" s="958"/>
      <x:c r="H135" s="958"/>
      <x:c r="I135" s="958"/>
      <x:c r="J135" s="958"/>
      <x:c r="K135" s="958"/>
      <x:c r="L135" s="958"/>
      <x:c r="M135" s="958"/>
      <x:c r="N135" s="1024"/>
      <x:c r="O135" s="959"/>
      <x:c r="P135" s="960"/>
    </x:row>
    <x:row r="136" spans="1:18" ht="16.899999999999999" customHeight="1">
      <x:c r="A136" s="1023" t="s">
        <x:v>99</x:v>
      </x:c>
      <x:c r="B136" s="958"/>
      <x:c r="C136" s="958"/>
      <x:c r="D136" s="958"/>
      <x:c r="E136" s="958"/>
      <x:c r="F136" s="958"/>
      <x:c r="G136" s="958"/>
      <x:c r="H136" s="958"/>
      <x:c r="I136" s="958"/>
      <x:c r="J136" s="958"/>
      <x:c r="K136" s="958"/>
      <x:c r="L136" s="958"/>
      <x:c r="M136" s="958"/>
      <x:c r="N136" s="1024"/>
      <x:c r="O136" s="959"/>
      <x:c r="P136" s="960"/>
    </x:row>
    <x:row r="137" spans="1:18" ht="16.899999999999999" customHeight="1">
      <x:c r="A137" s="1023" t="s">
        <x:v>102</x:v>
      </x:c>
      <x:c r="B137" s="958"/>
      <x:c r="C137" s="958"/>
      <x:c r="D137" s="958"/>
      <x:c r="E137" s="958"/>
      <x:c r="F137" s="958"/>
      <x:c r="G137" s="958"/>
      <x:c r="H137" s="958"/>
      <x:c r="I137" s="958"/>
      <x:c r="J137" s="958"/>
      <x:c r="K137" s="958"/>
      <x:c r="L137" s="958"/>
      <x:c r="M137" s="958"/>
      <x:c r="N137" s="1024"/>
      <x:c r="O137" s="959"/>
      <x:c r="P137" s="960"/>
    </x:row>
    <x:row r="138" spans="1:18" ht="16.899999999999999" customHeight="1">
      <x:c r="A138" s="1023" t="s">
        <x:v>101</x:v>
      </x:c>
      <x:c r="B138" s="958"/>
      <x:c r="C138" s="958"/>
      <x:c r="D138" s="958"/>
      <x:c r="E138" s="958"/>
      <x:c r="F138" s="958"/>
      <x:c r="G138" s="958"/>
      <x:c r="H138" s="958"/>
      <x:c r="I138" s="958"/>
      <x:c r="J138" s="958"/>
      <x:c r="K138" s="958"/>
      <x:c r="L138" s="958"/>
      <x:c r="M138" s="958"/>
      <x:c r="N138" s="1024"/>
      <x:c r="O138" s="959"/>
      <x:c r="P138" s="960"/>
    </x:row>
    <x:row r="139" spans="1:18" ht="16.899999999999999" customHeight="1">
      <x:c r="A139" s="1026" t="s">
        <x:v>41</x:v>
      </x:c>
      <x:c r="B139" s="961"/>
      <x:c r="C139" s="961"/>
      <x:c r="D139" s="961"/>
      <x:c r="E139" s="961"/>
      <x:c r="F139" s="961"/>
      <x:c r="G139" s="961"/>
      <x:c r="H139" s="961"/>
      <x:c r="I139" s="961"/>
      <x:c r="J139" s="961"/>
      <x:c r="K139" s="961"/>
      <x:c r="L139" s="961"/>
      <x:c r="M139" s="961"/>
      <x:c r="N139" s="1024"/>
      <x:c r="O139" s="959"/>
      <x:c r="P139" s="960"/>
    </x:row>
    <x:row r="140" spans="1:18" ht="16.899999999999999" customHeight="1">
      <x:c r="B140" s="964"/>
      <x:c r="C140" s="964"/>
      <x:c r="D140" s="964"/>
      <x:c r="E140" s="964"/>
      <x:c r="F140" s="964"/>
      <x:c r="G140" s="964"/>
      <x:c r="H140" s="964"/>
      <x:c r="I140" s="964"/>
      <x:c r="J140" s="964"/>
      <x:c r="K140" s="964"/>
      <x:c r="L140" s="964"/>
      <x:c r="M140" s="964"/>
      <x:c r="O140" s="965"/>
      <x:c r="P140" s="966"/>
    </x:row>
    <x:row r="141" spans="1:18" ht="16.899999999999999" customHeight="1">
      <x:c r="A141" s="1022" t="s">
        <x:v>103</x:v>
      </x:c>
      <x:c r="B141" s="968">
        <x:f>SUM(B142:B148)</x:f>
        <x:v>5500</x:v>
      </x:c>
      <x:c r="C141" s="968">
        <x:f t="shared" ref="C141:M141" si="22">SUM(C142:C148)</x:f>
        <x:v>5500</x:v>
      </x:c>
      <x:c r="D141" s="968">
        <x:f t="shared" si="22"/>
        <x:v>10500</x:v>
      </x:c>
      <x:c r="E141" s="968">
        <x:f t="shared" si="22"/>
        <x:v>5500</x:v>
      </x:c>
      <x:c r="F141" s="968">
        <x:f t="shared" si="22"/>
        <x:v>5500</x:v>
      </x:c>
      <x:c r="G141" s="968">
        <x:f t="shared" si="22"/>
        <x:v>5500</x:v>
      </x:c>
      <x:c r="H141" s="968">
        <x:f t="shared" si="22"/>
        <x:v>5500</x:v>
      </x:c>
      <x:c r="I141" s="968">
        <x:f t="shared" si="22"/>
        <x:v>5500</x:v>
      </x:c>
      <x:c r="J141" s="968">
        <x:f t="shared" si="22"/>
        <x:v>5500</x:v>
      </x:c>
      <x:c r="K141" s="968">
        <x:f t="shared" si="22"/>
        <x:v>5500</x:v>
      </x:c>
      <x:c r="L141" s="968">
        <x:f t="shared" si="22"/>
        <x:v>5500</x:v>
      </x:c>
      <x:c r="M141" s="968">
        <x:f t="shared" si="22"/>
        <x:v>5500</x:v>
      </x:c>
      <x:c r="O141" s="969"/>
      <x:c r="P141" s="970"/>
      <x:c r="R141" s="964">
        <x:f>+SUM(B141:M141)</x:f>
        <x:v>71000</x:v>
      </x:c>
    </x:row>
    <x:row r="142" spans="1:18" ht="16.899999999999999" customHeight="1">
      <x:c r="A142" s="1023" t="s">
        <x:v>96</x:v>
      </x:c>
      <x:c r="B142" s="958"/>
      <x:c r="C142" s="958"/>
      <x:c r="D142" s="958"/>
      <x:c r="E142" s="958"/>
      <x:c r="F142" s="958"/>
      <x:c r="G142" s="958"/>
      <x:c r="H142" s="958"/>
      <x:c r="I142" s="958"/>
      <x:c r="J142" s="958"/>
      <x:c r="K142" s="958"/>
      <x:c r="L142" s="958"/>
      <x:c r="M142" s="958"/>
      <x:c r="N142" s="1024"/>
      <x:c r="O142" s="959"/>
      <x:c r="P142" s="960"/>
      <x:c r="R142" s="1025">
        <x:f>+R141-SUM(B142:M148)</x:f>
        <x:v>0</x:v>
      </x:c>
    </x:row>
    <x:row r="143" spans="1:18" ht="16.899999999999999" customHeight="1">
      <x:c r="A143" s="1023" t="s">
        <x:v>97</x:v>
      </x:c>
      <x:c r="B143" s="958">
        <x:f>+'7. Commucation '!D38</x:f>
        <x:v>0</x:v>
      </x:c>
      <x:c r="C143" s="958">
        <x:f>+'7. Commucation '!E38</x:f>
        <x:v>0</x:v>
      </x:c>
      <x:c r="D143" s="958">
        <x:f>+'7. Commucation '!F38</x:f>
        <x:v>5000</x:v>
      </x:c>
      <x:c r="E143" s="958">
        <x:f>+'7. Commucation '!G38</x:f>
        <x:v>0</x:v>
      </x:c>
      <x:c r="F143" s="958">
        <x:f>+'7. Commucation '!H38</x:f>
        <x:v>0</x:v>
      </x:c>
      <x:c r="G143" s="958">
        <x:f>+'7. Commucation '!I38</x:f>
        <x:v>0</x:v>
      </x:c>
      <x:c r="H143" s="958">
        <x:f>+'7. Commucation '!J38</x:f>
        <x:v>0</x:v>
      </x:c>
      <x:c r="I143" s="958">
        <x:f>+'7. Commucation '!K38</x:f>
        <x:v>0</x:v>
      </x:c>
      <x:c r="J143" s="958">
        <x:f>+'7. Commucation '!L38</x:f>
        <x:v>0</x:v>
      </x:c>
      <x:c r="K143" s="958">
        <x:f>+'7. Commucation '!M38</x:f>
        <x:v>0</x:v>
      </x:c>
      <x:c r="L143" s="958">
        <x:f>+'7. Commucation '!N38</x:f>
        <x:v>0</x:v>
      </x:c>
      <x:c r="M143" s="958">
        <x:f>+'7. Commucation '!O38</x:f>
        <x:v>0</x:v>
      </x:c>
      <x:c r="N143" s="1024"/>
      <x:c r="O143" s="959" t="s">
        <x:v>1498</x:v>
      </x:c>
      <x:c r="P143" s="960" t="s">
        <x:v>1232</x:v>
      </x:c>
    </x:row>
    <x:row r="144" spans="1:18" ht="16.899999999999999" customHeight="1">
      <x:c r="A144" s="1023" t="s">
        <x:v>98</x:v>
      </x:c>
      <x:c r="B144" s="958"/>
      <x:c r="C144" s="958"/>
      <x:c r="D144" s="958"/>
      <x:c r="E144" s="958"/>
      <x:c r="F144" s="958"/>
      <x:c r="G144" s="958"/>
      <x:c r="H144" s="958"/>
      <x:c r="I144" s="958"/>
      <x:c r="J144" s="958"/>
      <x:c r="K144" s="958"/>
      <x:c r="L144" s="958"/>
      <x:c r="M144" s="958"/>
      <x:c r="N144" s="1024"/>
      <x:c r="O144" s="959"/>
      <x:c r="P144" s="960"/>
    </x:row>
    <x:row r="145" spans="1:18" ht="16.899999999999999" customHeight="1">
      <x:c r="A145" s="1023" t="s">
        <x:v>99</x:v>
      </x:c>
      <x:c r="B145" s="958">
        <x:f>'7. Commucation '!D30</x:f>
        <x:v>4000</x:v>
      </x:c>
      <x:c r="C145" s="958">
        <x:f>'7. Commucation '!E30</x:f>
        <x:v>4000</x:v>
      </x:c>
      <x:c r="D145" s="958">
        <x:f>'7. Commucation '!F30</x:f>
        <x:v>4000</x:v>
      </x:c>
      <x:c r="E145" s="958">
        <x:f>'7. Commucation '!G30</x:f>
        <x:v>4000</x:v>
      </x:c>
      <x:c r="F145" s="958">
        <x:f>'7. Commucation '!H30</x:f>
        <x:v>4000</x:v>
      </x:c>
      <x:c r="G145" s="958">
        <x:f>'7. Commucation '!I30</x:f>
        <x:v>4000</x:v>
      </x:c>
      <x:c r="H145" s="958">
        <x:f>'7. Commucation '!J30</x:f>
        <x:v>4000</x:v>
      </x:c>
      <x:c r="I145" s="958">
        <x:f>'7. Commucation '!K30</x:f>
        <x:v>4000</x:v>
      </x:c>
      <x:c r="J145" s="958">
        <x:f>'7. Commucation '!L30</x:f>
        <x:v>4000</x:v>
      </x:c>
      <x:c r="K145" s="958">
        <x:f>'7. Commucation '!M30</x:f>
        <x:v>4000</x:v>
      </x:c>
      <x:c r="L145" s="958">
        <x:f>'7. Commucation '!N30</x:f>
        <x:v>4000</x:v>
      </x:c>
      <x:c r="M145" s="958">
        <x:f>'7. Commucation '!O30</x:f>
        <x:v>4000</x:v>
      </x:c>
      <x:c r="N145" s="1024"/>
      <x:c r="O145" s="959"/>
      <x:c r="P145" s="960"/>
    </x:row>
    <x:row r="146" spans="1:18" ht="16.899999999999999" customHeight="1">
      <x:c r="A146" s="1023" t="s">
        <x:v>102</x:v>
      </x:c>
      <x:c r="B146" s="958"/>
      <x:c r="C146" s="958"/>
      <x:c r="D146" s="958"/>
      <x:c r="E146" s="958"/>
      <x:c r="F146" s="958"/>
      <x:c r="G146" s="958"/>
      <x:c r="H146" s="958"/>
      <x:c r="I146" s="958"/>
      <x:c r="J146" s="958"/>
      <x:c r="K146" s="958"/>
      <x:c r="L146" s="958"/>
      <x:c r="M146" s="958"/>
      <x:c r="N146" s="1024"/>
      <x:c r="O146" s="959"/>
      <x:c r="P146" s="960"/>
    </x:row>
    <x:row r="147" spans="1:18" ht="16.899999999999999" customHeight="1">
      <x:c r="A147" s="1023" t="s">
        <x:v>101</x:v>
      </x:c>
      <x:c r="B147" s="958">
        <x:f>'7. Commucation '!D34</x:f>
        <x:v>1500</x:v>
      </x:c>
      <x:c r="C147" s="958">
        <x:f>'7. Commucation '!E34</x:f>
        <x:v>1500</x:v>
      </x:c>
      <x:c r="D147" s="958">
        <x:f>'7. Commucation '!F34</x:f>
        <x:v>1500</x:v>
      </x:c>
      <x:c r="E147" s="958">
        <x:f>'7. Commucation '!G34</x:f>
        <x:v>1500</x:v>
      </x:c>
      <x:c r="F147" s="958">
        <x:f>'7. Commucation '!H34</x:f>
        <x:v>1500</x:v>
      </x:c>
      <x:c r="G147" s="958">
        <x:f>'7. Commucation '!I34</x:f>
        <x:v>1500</x:v>
      </x:c>
      <x:c r="H147" s="958">
        <x:f>'7. Commucation '!J34</x:f>
        <x:v>1500</x:v>
      </x:c>
      <x:c r="I147" s="958">
        <x:f>'7. Commucation '!K34</x:f>
        <x:v>1500</x:v>
      </x:c>
      <x:c r="J147" s="958">
        <x:f>'7. Commucation '!L34</x:f>
        <x:v>1500</x:v>
      </x:c>
      <x:c r="K147" s="958">
        <x:f>'7. Commucation '!M34</x:f>
        <x:v>1500</x:v>
      </x:c>
      <x:c r="L147" s="958">
        <x:f>'7. Commucation '!N34</x:f>
        <x:v>1500</x:v>
      </x:c>
      <x:c r="M147" s="958">
        <x:f>'7. Commucation '!O34</x:f>
        <x:v>1500</x:v>
      </x:c>
      <x:c r="N147" s="1024"/>
      <x:c r="O147" s="959" t="s">
        <x:v>1244</x:v>
      </x:c>
      <x:c r="P147" s="960" t="s">
        <x:v>1232</x:v>
      </x:c>
    </x:row>
    <x:row r="148" spans="1:18" ht="16.899999999999999" customHeight="1">
      <x:c r="A148" s="1026" t="s">
        <x:v>41</x:v>
      </x:c>
      <x:c r="B148" s="961"/>
      <x:c r="C148" s="961"/>
      <x:c r="D148" s="961"/>
      <x:c r="E148" s="961"/>
      <x:c r="F148" s="961"/>
      <x:c r="G148" s="961"/>
      <x:c r="H148" s="961"/>
      <x:c r="I148" s="961"/>
      <x:c r="J148" s="961"/>
      <x:c r="K148" s="961"/>
      <x:c r="L148" s="961"/>
      <x:c r="M148" s="961"/>
      <x:c r="N148" s="1024"/>
      <x:c r="O148" s="959"/>
      <x:c r="P148" s="960"/>
    </x:row>
    <x:row r="149" spans="1:18" ht="16.899999999999999" customHeight="1">
      <x:c r="B149" s="964"/>
      <x:c r="C149" s="964"/>
      <x:c r="D149" s="964"/>
      <x:c r="E149" s="964"/>
      <x:c r="F149" s="964"/>
      <x:c r="G149" s="964"/>
      <x:c r="H149" s="964"/>
      <x:c r="I149" s="964"/>
      <x:c r="J149" s="964"/>
      <x:c r="K149" s="964"/>
      <x:c r="L149" s="964"/>
      <x:c r="M149" s="964"/>
      <x:c r="O149" s="965"/>
      <x:c r="P149" s="966"/>
    </x:row>
    <x:row r="150" spans="1:18" ht="16.899999999999999" customHeight="1">
      <x:c r="A150" s="1022" t="s">
        <x:v>104</x:v>
      </x:c>
      <x:c r="B150" s="1003">
        <x:f>SUM(B151:B155)</x:f>
        <x:v>13544.631166666668</x:v>
      </x:c>
      <x:c r="C150" s="1003">
        <x:f t="shared" ref="C150:M150" si="23">SUM(C151:C155)</x:f>
        <x:v>13544.631166666668</x:v>
      </x:c>
      <x:c r="D150" s="1003">
        <x:f t="shared" si="23"/>
        <x:v>13544.631166666668</x:v>
      </x:c>
      <x:c r="E150" s="1003">
        <x:f t="shared" si="23"/>
        <x:v>13544.631166666668</x:v>
      </x:c>
      <x:c r="F150" s="1003">
        <x:f t="shared" si="23"/>
        <x:v>13544.631166666668</x:v>
      </x:c>
      <x:c r="G150" s="1003">
        <x:f t="shared" si="23"/>
        <x:v>13544.631166666668</x:v>
      </x:c>
      <x:c r="H150" s="1003">
        <x:f t="shared" si="23"/>
        <x:v>13544.631166666668</x:v>
      </x:c>
      <x:c r="I150" s="1003">
        <x:f t="shared" si="23"/>
        <x:v>27089.262333333336</x:v>
      </x:c>
      <x:c r="J150" s="1003">
        <x:f t="shared" si="23"/>
        <x:v>27089.262333333336</x:v>
      </x:c>
      <x:c r="K150" s="1003">
        <x:f t="shared" si="23"/>
        <x:v>27089.262333333336</x:v>
      </x:c>
      <x:c r="L150" s="1003">
        <x:f t="shared" si="23"/>
        <x:v>27089.262333333336</x:v>
      </x:c>
      <x:c r="M150" s="1003">
        <x:f t="shared" si="23"/>
        <x:v>27089.262333333336</x:v>
      </x:c>
      <x:c r="O150" s="969"/>
      <x:c r="P150" s="970"/>
      <x:c r="R150" s="964">
        <x:f>+SUM(B150:M150)</x:f>
        <x:v>230258.7298333334</x:v>
      </x:c>
    </x:row>
    <x:row r="151" spans="1:18" ht="16.899999999999999" customHeight="1">
      <x:c r="A151" s="1023" t="s">
        <x:v>105</x:v>
      </x:c>
      <x:c r="B151" s="1004">
        <x:f>'8. Export, Import1'!C12</x:f>
        <x:v>2422.1199166666665</x:v>
      </x:c>
      <x:c r="C151" s="1004">
        <x:f>'8. Export, Import1'!D12</x:f>
        <x:v>2422.1199166666665</x:v>
      </x:c>
      <x:c r="D151" s="1004">
        <x:f>'8. Export, Import1'!E12</x:f>
        <x:v>2422.1199166666665</x:v>
      </x:c>
      <x:c r="E151" s="1004">
        <x:f>'8. Export, Import1'!F12</x:f>
        <x:v>2422.1199166666665</x:v>
      </x:c>
      <x:c r="F151" s="1004">
        <x:f>'8. Export, Import1'!G12</x:f>
        <x:v>2422.1199166666665</x:v>
      </x:c>
      <x:c r="G151" s="1004">
        <x:f>'8. Export, Import1'!H12</x:f>
        <x:v>2422.1199166666665</x:v>
      </x:c>
      <x:c r="H151" s="1004">
        <x:f>'8. Export, Import1'!I12</x:f>
        <x:v>2422.1199166666665</x:v>
      </x:c>
      <x:c r="I151" s="1004">
        <x:f>'8. Export, Import1'!J12</x:f>
        <x:v>4844.2398333333331</x:v>
      </x:c>
      <x:c r="J151" s="1004">
        <x:f>'8. Export, Import1'!K12</x:f>
        <x:v>4844.2398333333331</x:v>
      </x:c>
      <x:c r="K151" s="1004">
        <x:f>'8. Export, Import1'!L12</x:f>
        <x:v>4844.2398333333331</x:v>
      </x:c>
      <x:c r="L151" s="1004">
        <x:f>'8. Export, Import1'!M12</x:f>
        <x:v>4844.2398333333331</x:v>
      </x:c>
      <x:c r="M151" s="1004">
        <x:f>'8. Export, Import1'!N12</x:f>
        <x:v>4844.2398333333331</x:v>
      </x:c>
      <x:c r="N151" s="1024"/>
      <x:c r="O151" s="967" t="s">
        <x:v>1499</x:v>
      </x:c>
      <x:c r="P151" s="960" t="s">
        <x:v>1232</x:v>
      </x:c>
      <x:c r="R151" s="1025">
        <x:f>+R150-SUM(B151:M155)</x:f>
        <x:v>0</x:v>
      </x:c>
    </x:row>
    <x:row r="152" spans="1:18" ht="16.899999999999999" customHeight="1">
      <x:c r="A152" s="1023" t="s">
        <x:v>106</x:v>
      </x:c>
      <x:c r="B152" s="958">
        <x:f>'8. Export, Import1'!C13</x:f>
        <x:v>2225.75</x:v>
      </x:c>
      <x:c r="C152" s="958">
        <x:f>'8. Export, Import1'!D13</x:f>
        <x:v>2225.75</x:v>
      </x:c>
      <x:c r="D152" s="958">
        <x:f>'8. Export, Import1'!E13</x:f>
        <x:v>2225.75</x:v>
      </x:c>
      <x:c r="E152" s="958">
        <x:f>'8. Export, Import1'!F13</x:f>
        <x:v>2225.75</x:v>
      </x:c>
      <x:c r="F152" s="958">
        <x:f>'8. Export, Import1'!G13</x:f>
        <x:v>2225.75</x:v>
      </x:c>
      <x:c r="G152" s="958">
        <x:f>'8. Export, Import1'!H13</x:f>
        <x:v>2225.75</x:v>
      </x:c>
      <x:c r="H152" s="958">
        <x:f>'8. Export, Import1'!I13</x:f>
        <x:v>2225.75</x:v>
      </x:c>
      <x:c r="I152" s="958">
        <x:f>'8. Export, Import1'!J13</x:f>
        <x:v>4451.5</x:v>
      </x:c>
      <x:c r="J152" s="958">
        <x:f>'8. Export, Import1'!K13</x:f>
        <x:v>4451.5</x:v>
      </x:c>
      <x:c r="K152" s="958">
        <x:f>'8. Export, Import1'!L13</x:f>
        <x:v>4451.5</x:v>
      </x:c>
      <x:c r="L152" s="958">
        <x:f>'8. Export, Import1'!M13</x:f>
        <x:v>4451.5</x:v>
      </x:c>
      <x:c r="M152" s="958">
        <x:f>'8. Export, Import1'!N13</x:f>
        <x:v>4451.5</x:v>
      </x:c>
      <x:c r="N152" s="1024"/>
      <x:c r="O152" s="967" t="s">
        <x:v>1499</x:v>
      </x:c>
      <x:c r="P152" s="960" t="s">
        <x:v>1232</x:v>
      </x:c>
    </x:row>
    <x:row r="153" spans="1:18" ht="16.899999999999999" customHeight="1">
      <x:c r="A153" s="1023" t="s">
        <x:v>107</x:v>
      </x:c>
      <x:c r="B153" s="958">
        <x:f>'8. Export, Import1'!C14</x:f>
        <x:v>2506.8170833333334</x:v>
      </x:c>
      <x:c r="C153" s="958">
        <x:f>'8. Export, Import1'!D14</x:f>
        <x:v>2506.8170833333334</x:v>
      </x:c>
      <x:c r="D153" s="958">
        <x:f>'8. Export, Import1'!E14</x:f>
        <x:v>2506.8170833333334</x:v>
      </x:c>
      <x:c r="E153" s="958">
        <x:f>'8. Export, Import1'!F14</x:f>
        <x:v>2506.8170833333334</x:v>
      </x:c>
      <x:c r="F153" s="958">
        <x:f>'8. Export, Import1'!G14</x:f>
        <x:v>2506.8170833333334</x:v>
      </x:c>
      <x:c r="G153" s="958">
        <x:f>'8. Export, Import1'!H14</x:f>
        <x:v>2506.8170833333334</x:v>
      </x:c>
      <x:c r="H153" s="958">
        <x:f>'8. Export, Import1'!I14</x:f>
        <x:v>2506.8170833333334</x:v>
      </x:c>
      <x:c r="I153" s="958">
        <x:f>'8. Export, Import1'!J14</x:f>
        <x:v>5013.6341666666667</x:v>
      </x:c>
      <x:c r="J153" s="958">
        <x:f>'8. Export, Import1'!K14</x:f>
        <x:v>5013.6341666666667</x:v>
      </x:c>
      <x:c r="K153" s="958">
        <x:f>'8. Export, Import1'!L14</x:f>
        <x:v>5013.6341666666667</x:v>
      </x:c>
      <x:c r="L153" s="958">
        <x:f>'8. Export, Import1'!M14</x:f>
        <x:v>5013.6341666666667</x:v>
      </x:c>
      <x:c r="M153" s="958">
        <x:f>'8. Export, Import1'!N14</x:f>
        <x:v>5013.6341666666667</x:v>
      </x:c>
      <x:c r="N153" s="1024"/>
      <x:c r="O153" s="967" t="s">
        <x:v>1499</x:v>
      </x:c>
      <x:c r="P153" s="960" t="s">
        <x:v>1232</x:v>
      </x:c>
    </x:row>
    <x:row r="154" spans="1:18" ht="16.899999999999999" customHeight="1">
      <x:c r="A154" s="1023" t="s">
        <x:v>108</x:v>
      </x:c>
      <x:c r="B154" s="958">
        <x:f>'8. Export, Import1'!C15</x:f>
        <x:v>3307.4665</x:v>
      </x:c>
      <x:c r="C154" s="958">
        <x:f>'8. Export, Import1'!D15</x:f>
        <x:v>3307.4665</x:v>
      </x:c>
      <x:c r="D154" s="958">
        <x:f>'8. Export, Import1'!E15</x:f>
        <x:v>3307.4665</x:v>
      </x:c>
      <x:c r="E154" s="958">
        <x:f>'8. Export, Import1'!F15</x:f>
        <x:v>3307.4665</x:v>
      </x:c>
      <x:c r="F154" s="958">
        <x:f>'8. Export, Import1'!G15</x:f>
        <x:v>3307.4665</x:v>
      </x:c>
      <x:c r="G154" s="958">
        <x:f>'8. Export, Import1'!H15</x:f>
        <x:v>3307.4665</x:v>
      </x:c>
      <x:c r="H154" s="958">
        <x:f>'8. Export, Import1'!I15</x:f>
        <x:v>3307.4665</x:v>
      </x:c>
      <x:c r="I154" s="958">
        <x:f>'8. Export, Import1'!J15</x:f>
        <x:v>6614.933</x:v>
      </x:c>
      <x:c r="J154" s="958">
        <x:f>'8. Export, Import1'!K15</x:f>
        <x:v>6614.933</x:v>
      </x:c>
      <x:c r="K154" s="958">
        <x:f>'8. Export, Import1'!L15</x:f>
        <x:v>6614.933</x:v>
      </x:c>
      <x:c r="L154" s="958">
        <x:f>'8. Export, Import1'!M15</x:f>
        <x:v>6614.933</x:v>
      </x:c>
      <x:c r="M154" s="958">
        <x:f>'8. Export, Import1'!N15</x:f>
        <x:v>6614.933</x:v>
      </x:c>
      <x:c r="N154" s="958"/>
      <x:c r="O154" s="967" t="s">
        <x:v>1499</x:v>
      </x:c>
      <x:c r="P154" s="960" t="s">
        <x:v>1232</x:v>
      </x:c>
    </x:row>
    <x:row r="155" spans="1:18" ht="16.899999999999999" customHeight="1">
      <x:c r="A155" s="1026" t="s">
        <x:v>56</x:v>
      </x:c>
      <x:c r="B155" s="961">
        <x:f>'8. Export, Import1'!C16</x:f>
        <x:v>3082.4776666666671</x:v>
      </x:c>
      <x:c r="C155" s="961">
        <x:f>'8. Export, Import1'!D16</x:f>
        <x:v>3082.4776666666671</x:v>
      </x:c>
      <x:c r="D155" s="961">
        <x:f>'8. Export, Import1'!E16</x:f>
        <x:v>3082.4776666666671</x:v>
      </x:c>
      <x:c r="E155" s="961">
        <x:f>'8. Export, Import1'!F16</x:f>
        <x:v>3082.4776666666671</x:v>
      </x:c>
      <x:c r="F155" s="961">
        <x:f>'8. Export, Import1'!G16</x:f>
        <x:v>3082.4776666666671</x:v>
      </x:c>
      <x:c r="G155" s="961">
        <x:f>'8. Export, Import1'!H16</x:f>
        <x:v>3082.4776666666671</x:v>
      </x:c>
      <x:c r="H155" s="961">
        <x:f>'8. Export, Import1'!I16</x:f>
        <x:v>3082.4776666666671</x:v>
      </x:c>
      <x:c r="I155" s="961">
        <x:f>'8. Export, Import1'!J16</x:f>
        <x:v>6164.9553333333342</x:v>
      </x:c>
      <x:c r="J155" s="961">
        <x:f>'8. Export, Import1'!K16</x:f>
        <x:v>6164.9553333333342</x:v>
      </x:c>
      <x:c r="K155" s="961">
        <x:f>'8. Export, Import1'!L16</x:f>
        <x:v>6164.9553333333342</x:v>
      </x:c>
      <x:c r="L155" s="961">
        <x:f>'8. Export, Import1'!M16</x:f>
        <x:v>6164.9553333333342</x:v>
      </x:c>
      <x:c r="M155" s="961">
        <x:f>'8. Export, Import1'!N16</x:f>
        <x:v>6164.9553333333342</x:v>
      </x:c>
      <x:c r="N155" s="1024"/>
      <x:c r="O155" s="967" t="s">
        <x:v>1499</x:v>
      </x:c>
      <x:c r="P155" s="960" t="s">
        <x:v>1232</x:v>
      </x:c>
    </x:row>
    <x:row r="156" spans="1:18" ht="16.899999999999999" customHeight="1">
      <x:c r="B156" s="964"/>
      <x:c r="C156" s="964"/>
      <x:c r="D156" s="964"/>
      <x:c r="E156" s="964"/>
      <x:c r="F156" s="964"/>
      <x:c r="G156" s="964"/>
      <x:c r="H156" s="964"/>
      <x:c r="I156" s="964"/>
      <x:c r="J156" s="964"/>
      <x:c r="K156" s="964"/>
      <x:c r="L156" s="964"/>
      <x:c r="M156" s="964"/>
      <x:c r="O156" s="965"/>
      <x:c r="P156" s="966"/>
    </x:row>
    <x:row r="157" spans="1:18" ht="16.899999999999999" customHeight="1">
      <x:c r="A157" s="1034" t="s">
        <x:v>109</x:v>
      </x:c>
      <x:c r="B157" s="968">
        <x:f>SUM(B158)</x:f>
        <x:v>46765.533869095554</x:v>
      </x:c>
      <x:c r="C157" s="968">
        <x:f t="shared" ref="C157:M157" si="24">SUM(C158)</x:f>
        <x:v>58361.204629517983</x:v>
      </x:c>
      <x:c r="D157" s="968">
        <x:f t="shared" si="24"/>
        <x:v>83073.069049222759</x:v>
      </x:c>
      <x:c r="E157" s="968">
        <x:f t="shared" si="24"/>
        <x:v>69298.849384090645</x:v>
      </x:c>
      <x:c r="F157" s="968">
        <x:f t="shared" si="24"/>
        <x:v>63412.363376986141</x:v>
      </x:c>
      <x:c r="G157" s="968">
        <x:f t="shared" si="24"/>
        <x:v>96620.583131220541</x:v>
      </x:c>
      <x:c r="H157" s="968">
        <x:f t="shared" si="24"/>
        <x:v>59147.594446575655</x:v>
      </x:c>
      <x:c r="I157" s="968">
        <x:f t="shared" si="24"/>
        <x:v>88067.574401108199</x:v>
      </x:c>
      <x:c r="J157" s="968">
        <x:f t="shared" si="24"/>
        <x:v>79525.320686477658</x:v>
      </x:c>
      <x:c r="K157" s="968">
        <x:f t="shared" si="24"/>
        <x:v>116831.75332863392</x:v>
      </x:c>
      <x:c r="L157" s="968">
        <x:f t="shared" si="24"/>
        <x:v>82793.84248742077</x:v>
      </x:c>
      <x:c r="M157" s="968">
        <x:f t="shared" si="24"/>
        <x:v>84215.767067533685</x:v>
      </x:c>
      <x:c r="O157" s="969"/>
      <x:c r="P157" s="970"/>
      <x:c r="R157" s="964">
        <x:f>+SUM(B157:M157)</x:f>
        <x:v>928113.45585788356</x:v>
      </x:c>
    </x:row>
    <x:row r="158" spans="1:18" ht="16.899999999999999" customHeight="1">
      <x:c r="A158" s="1023" t="s">
        <x:v>110</x:v>
      </x:c>
      <x:c r="B158" s="1005">
        <x:f>Summary!F5*0.05%</x:f>
        <x:v>46765.533869095554</x:v>
      </x:c>
      <x:c r="C158" s="1005">
        <x:f>Summary!G5*0.05%</x:f>
        <x:v>58361.204629517983</x:v>
      </x:c>
      <x:c r="D158" s="1005">
        <x:f>Summary!H5*0.05%</x:f>
        <x:v>83073.069049222759</x:v>
      </x:c>
      <x:c r="E158" s="1005">
        <x:f>Summary!I5*0.05%</x:f>
        <x:v>69298.849384090645</x:v>
      </x:c>
      <x:c r="F158" s="1005">
        <x:f>Summary!J5*0.05%</x:f>
        <x:v>63412.363376986141</x:v>
      </x:c>
      <x:c r="G158" s="1005">
        <x:f>Summary!K5*0.05%</x:f>
        <x:v>96620.583131220541</x:v>
      </x:c>
      <x:c r="H158" s="1005">
        <x:f>Summary!L5*0.05%</x:f>
        <x:v>59147.594446575655</x:v>
      </x:c>
      <x:c r="I158" s="1005">
        <x:f>Summary!M5*0.05%</x:f>
        <x:v>88067.574401108199</x:v>
      </x:c>
      <x:c r="J158" s="1005">
        <x:f>Summary!N5*0.05%</x:f>
        <x:v>79525.320686477658</x:v>
      </x:c>
      <x:c r="K158" s="1005">
        <x:f>Summary!O5*0.05%</x:f>
        <x:v>116831.75332863392</x:v>
      </x:c>
      <x:c r="L158" s="1005">
        <x:f>Summary!P5*0.05%</x:f>
        <x:v>82793.84248742077</x:v>
      </x:c>
      <x:c r="M158" s="1005">
        <x:f>Summary!Q5*0.05%</x:f>
        <x:v>84215.767067533685</x:v>
      </x:c>
      <x:c r="N158" s="1024"/>
      <x:c r="O158" s="967" t="s">
        <x:v>1245</x:v>
      </x:c>
      <x:c r="P158" s="960"/>
      <x:c r="R158" s="1025">
        <x:f>+R157-SUM(B158:M158)</x:f>
        <x:v>0</x:v>
      </x:c>
    </x:row>
    <x:row r="159" spans="1:18" ht="16.899999999999999" customHeight="1">
      <x:c r="A159" s="1026" t="s">
        <x:v>1250</x:v>
      </x:c>
      <x:c r="B159" s="961">
        <x:f>+'15. Test, Royalty '!D13</x:f>
        <x:v>3741242.7095276448</x:v>
      </x:c>
      <x:c r="C159" s="961">
        <x:f>+'15. Test, Royalty '!E13</x:f>
        <x:v>4668896.370361439</x:v>
      </x:c>
      <x:c r="D159" s="961">
        <x:f>+'15. Test, Royalty '!F13</x:f>
        <x:v>6645845.5239378205</x:v>
      </x:c>
      <x:c r="E159" s="961">
        <x:f>+'15. Test, Royalty '!G13</x:f>
        <x:v>5543907.9507272523</x:v>
      </x:c>
      <x:c r="F159" s="961">
        <x:f>+'15. Test, Royalty '!H13</x:f>
        <x:v>5072989.0701588914</x:v>
      </x:c>
      <x:c r="G159" s="961">
        <x:f>+'15. Test, Royalty '!I13</x:f>
        <x:v>7729646.6504976433</x:v>
      </x:c>
      <x:c r="H159" s="961">
        <x:f>+'15. Test, Royalty '!J13</x:f>
        <x:v>4731807.5557260523</x:v>
      </x:c>
      <x:c r="I159" s="961">
        <x:f>+'15. Test, Royalty '!K13</x:f>
        <x:v>7045405.952088655</x:v>
      </x:c>
      <x:c r="J159" s="961">
        <x:f>+'15. Test, Royalty '!L13</x:f>
        <x:v>6362025.6549182134</x:v>
      </x:c>
      <x:c r="K159" s="961">
        <x:f>+'15. Test, Royalty '!M13</x:f>
        <x:v>9346540.2662907131</x:v>
      </x:c>
      <x:c r="L159" s="961">
        <x:f>+'15. Test, Royalty '!N13</x:f>
        <x:v>6623507.3989936616</x:v>
      </x:c>
      <x:c r="M159" s="961">
        <x:f>+'15. Test, Royalty '!O13</x:f>
        <x:v>6737261.3654026948</x:v>
      </x:c>
      <x:c r="N159" s="1024"/>
      <x:c r="O159" s="980" t="s">
        <x:v>1501</x:v>
      </x:c>
      <x:c r="P159" s="960"/>
    </x:row>
    <x:row r="161" spans="1:18" ht="16.899999999999999" customHeight="1">
      <x:c r="A161" s="1022" t="s">
        <x:v>111</x:v>
      </x:c>
      <x:c r="B161" s="968">
        <x:f>SUM(B162:B168)</x:f>
        <x:v>520351.0723</x:v>
      </x:c>
      <x:c r="C161" s="968">
        <x:f t="shared" ref="C161:M161" si="25">SUM(C162:C168)</x:f>
        <x:v>331972.67229999998</x:v>
      </x:c>
      <x:c r="D161" s="968">
        <x:f t="shared" si="25"/>
        <x:v>331972.67229999998</x:v>
      </x:c>
      <x:c r="E161" s="968">
        <x:f t="shared" si="25"/>
        <x:v>337972.67229999998</x:v>
      </x:c>
      <x:c r="F161" s="968">
        <x:f t="shared" si="25"/>
        <x:v>529972.67229999998</x:v>
      </x:c>
      <x:c r="G161" s="968">
        <x:f t="shared" si="25"/>
        <x:v>331972.67229999998</x:v>
      </x:c>
      <x:c r="H161" s="968">
        <x:f t="shared" si="25"/>
        <x:v>344812.67229999998</x:v>
      </x:c>
      <x:c r="I161" s="968">
        <x:f t="shared" si="25"/>
        <x:v>338812.67229999998</x:v>
      </x:c>
      <x:c r="J161" s="968">
        <x:f t="shared" si="25"/>
        <x:v>409769.27230000001</x:v>
      </x:c>
      <x:c r="K161" s="968">
        <x:f t="shared" si="25"/>
        <x:v>344812.67229999998</x:v>
      </x:c>
      <x:c r="L161" s="968">
        <x:f t="shared" si="25"/>
        <x:v>338812.67229999998</x:v>
      </x:c>
      <x:c r="M161" s="968">
        <x:f t="shared" si="25"/>
        <x:v>555519.12029999995</x:v>
      </x:c>
      <x:c r="O161" s="969"/>
      <x:c r="P161" s="970"/>
      <x:c r="R161" s="964">
        <x:f>+SUM(B161:M161)</x:f>
        <x:v>4716753.5155999986</x:v>
      </x:c>
    </x:row>
    <x:row r="162" spans="1:18" ht="16.899999999999999" customHeight="1">
      <x:c r="A162" s="1023" t="s">
        <x:v>112</x:v>
      </x:c>
      <x:c r="B162" s="1005" t="s">
        <x:v>1505</x:v>
      </x:c>
      <x:c r="C162" s="1005" t="s">
        <x:v>1505</x:v>
      </x:c>
      <x:c r="D162" s="1005" t="s">
        <x:v>1505</x:v>
      </x:c>
      <x:c r="E162" s="1005" t="s">
        <x:v>1505</x:v>
      </x:c>
      <x:c r="F162" s="1005" t="s">
        <x:v>1505</x:v>
      </x:c>
      <x:c r="G162" s="1005" t="s">
        <x:v>1505</x:v>
      </x:c>
      <x:c r="H162" s="1005" t="s">
        <x:v>1505</x:v>
      </x:c>
      <x:c r="I162" s="1005" t="s">
        <x:v>1505</x:v>
      </x:c>
      <x:c r="J162" s="1005" t="s">
        <x:v>1505</x:v>
      </x:c>
      <x:c r="K162" s="1005" t="s">
        <x:v>1505</x:v>
      </x:c>
      <x:c r="L162" s="1005" t="s">
        <x:v>1505</x:v>
      </x:c>
      <x:c r="M162" s="1005" t="s">
        <x:v>1505</x:v>
      </x:c>
      <x:c r="O162" s="959"/>
      <x:c r="P162" s="960"/>
      <x:c r="R162" s="1025">
        <x:f>+R161-SUM(B162:M168)</x:f>
        <x:v>0</x:v>
      </x:c>
    </x:row>
    <x:row r="163" spans="1:18" ht="16.899999999999999" customHeight="1">
      <x:c r="A163" s="1023" t="s">
        <x:v>113</x:v>
      </x:c>
      <x:c r="B163" s="958">
        <x:f>'2. Service'!E47+'15. Test, Royalty '!D14</x:f>
        <x:v>349039.43800000002</x:v>
      </x:c>
      <x:c r="C163" s="958">
        <x:f>'2. Service'!F47+'15. Test, Royalty '!E14</x:f>
        <x:v>166661.038</x:v>
      </x:c>
      <x:c r="D163" s="958">
        <x:f>'2. Service'!G47+'15. Test, Royalty '!F14</x:f>
        <x:v>166661.038</x:v>
      </x:c>
      <x:c r="E163" s="958">
        <x:f>'2. Service'!H47+'15. Test, Royalty '!G14</x:f>
        <x:v>166661.038</x:v>
      </x:c>
      <x:c r="F163" s="958">
        <x:f>'2. Service'!I47+'15. Test, Royalty '!H14</x:f>
        <x:v>364661.038</x:v>
      </x:c>
      <x:c r="G163" s="958">
        <x:f>'2. Service'!J47+'15. Test, Royalty '!I14</x:f>
        <x:v>166661.038</x:v>
      </x:c>
      <x:c r="H163" s="958">
        <x:f>'2. Service'!K47+'15. Test, Royalty '!J14</x:f>
        <x:v>173501.038</x:v>
      </x:c>
      <x:c r="I163" s="958">
        <x:f>'2. Service'!L47+'15. Test, Royalty '!K14</x:f>
        <x:v>173501.038</x:v>
      </x:c>
      <x:c r="J163" s="958">
        <x:f>'2. Service'!M47+'15. Test, Royalty '!L14</x:f>
        <x:v>244457.63800000001</x:v>
      </x:c>
      <x:c r="K163" s="958">
        <x:f>'2. Service'!N47+'15. Test, Royalty '!M14</x:f>
        <x:v>173501.038</x:v>
      </x:c>
      <x:c r="L163" s="958">
        <x:f>'2. Service'!O47+'15. Test, Royalty '!N14</x:f>
        <x:v>173501.038</x:v>
      </x:c>
      <x:c r="M163" s="958">
        <x:f>'2. Service'!P47+'15. Test, Royalty '!O14</x:f>
        <x:v>390207.48599999998</x:v>
      </x:c>
      <x:c r="O163" s="967" t="s">
        <x:v>1502</x:v>
      </x:c>
      <x:c r="P163" s="960"/>
    </x:row>
    <x:row r="164" spans="1:18" ht="16.899999999999999" customHeight="1">
      <x:c r="A164" s="1023" t="s">
        <x:v>114</x:v>
      </x:c>
      <x:c r="B164" s="958">
        <x:f>'2. Service'!D6</x:f>
        <x:v>35512.634299999998</x:v>
      </x:c>
      <x:c r="C164" s="958">
        <x:f>'2. Service'!E6</x:f>
        <x:v>35512.634299999998</x:v>
      </x:c>
      <x:c r="D164" s="958">
        <x:f>'2. Service'!F6</x:f>
        <x:v>35512.634299999998</x:v>
      </x:c>
      <x:c r="E164" s="958">
        <x:f>'2. Service'!G6</x:f>
        <x:v>35512.634299999998</x:v>
      </x:c>
      <x:c r="F164" s="958">
        <x:f>'2. Service'!H6</x:f>
        <x:v>35512.634299999998</x:v>
      </x:c>
      <x:c r="G164" s="958">
        <x:f>'2. Service'!I6</x:f>
        <x:v>35512.634299999998</x:v>
      </x:c>
      <x:c r="H164" s="958">
        <x:f>'2. Service'!J6</x:f>
        <x:v>35512.634299999998</x:v>
      </x:c>
      <x:c r="I164" s="958">
        <x:f>'2. Service'!K6</x:f>
        <x:v>35512.634299999998</x:v>
      </x:c>
      <x:c r="J164" s="958">
        <x:f>'2. Service'!L6</x:f>
        <x:v>35512.634299999998</x:v>
      </x:c>
      <x:c r="K164" s="958">
        <x:f>'2. Service'!M6</x:f>
        <x:v>35512.634299999998</x:v>
      </x:c>
      <x:c r="L164" s="958">
        <x:f>'2. Service'!N6</x:f>
        <x:v>35512.634299999998</x:v>
      </x:c>
      <x:c r="M164" s="958">
        <x:f>'2. Service'!O6</x:f>
        <x:v>35512.634299999998</x:v>
      </x:c>
      <x:c r="N164" s="1024"/>
      <x:c r="O164" s="959" t="s">
        <x:v>1249</x:v>
      </x:c>
      <x:c r="P164" s="960"/>
    </x:row>
    <x:row r="165" spans="1:18" ht="16.899999999999999" customHeight="1">
      <x:c r="A165" s="1023" t="s">
        <x:v>115</x:v>
      </x:c>
      <x:c r="B165" s="958">
        <x:f>'2. Service'!D5</x:f>
        <x:v>121232</x:v>
      </x:c>
      <x:c r="C165" s="958">
        <x:f>'2. Service'!E5</x:f>
        <x:v>121232</x:v>
      </x:c>
      <x:c r="D165" s="958">
        <x:f>'2. Service'!F5</x:f>
        <x:v>121232</x:v>
      </x:c>
      <x:c r="E165" s="958">
        <x:f>'2. Service'!G5</x:f>
        <x:v>121232</x:v>
      </x:c>
      <x:c r="F165" s="958">
        <x:f>'2. Service'!H5</x:f>
        <x:v>121232</x:v>
      </x:c>
      <x:c r="G165" s="958">
        <x:f>'2. Service'!I5</x:f>
        <x:v>121232</x:v>
      </x:c>
      <x:c r="H165" s="958">
        <x:f>'2. Service'!J5</x:f>
        <x:v>121232</x:v>
      </x:c>
      <x:c r="I165" s="958">
        <x:f>'2. Service'!K5</x:f>
        <x:v>121232</x:v>
      </x:c>
      <x:c r="J165" s="958">
        <x:f>'2. Service'!L5</x:f>
        <x:v>121232</x:v>
      </x:c>
      <x:c r="K165" s="958">
        <x:f>'2. Service'!M5</x:f>
        <x:v>121232</x:v>
      </x:c>
      <x:c r="L165" s="958">
        <x:f>'2. Service'!N5</x:f>
        <x:v>121232</x:v>
      </x:c>
      <x:c r="M165" s="958">
        <x:f>'2. Service'!O5</x:f>
        <x:v>121232</x:v>
      </x:c>
      <x:c r="N165" s="1024"/>
      <x:c r="O165" s="959" t="s">
        <x:v>1248</x:v>
      </x:c>
      <x:c r="P165" s="960"/>
    </x:row>
    <x:row r="166" spans="1:18" ht="16.899999999999999" customHeight="1">
      <x:c r="A166" s="1023" t="s">
        <x:v>1076</x:v>
      </x:c>
      <x:c r="B166" s="958">
        <x:f>'2. Service'!D7</x:f>
        <x:v>6000</x:v>
      </x:c>
      <x:c r="C166" s="958" t="str">
        <x:f>'2. Service'!E7</x:f>
        <x:v>-</x:v>
      </x:c>
      <x:c r="D166" s="958" t="str">
        <x:f>'2. Service'!F7</x:f>
        <x:v>-</x:v>
      </x:c>
      <x:c r="E166" s="958">
        <x:f>'2. Service'!G7</x:f>
        <x:v>6000</x:v>
      </x:c>
      <x:c r="F166" s="958" t="str">
        <x:f>'2. Service'!H7</x:f>
        <x:v>-</x:v>
      </x:c>
      <x:c r="G166" s="958" t="str">
        <x:f>'2. Service'!I7</x:f>
        <x:v>-</x:v>
      </x:c>
      <x:c r="H166" s="958">
        <x:f>'2. Service'!J7</x:f>
        <x:v>6000</x:v>
      </x:c>
      <x:c r="I166" s="958" t="str">
        <x:f>'2. Service'!K7</x:f>
        <x:v>-</x:v>
      </x:c>
      <x:c r="J166" s="958" t="str">
        <x:f>'2. Service'!L7</x:f>
        <x:v>-</x:v>
      </x:c>
      <x:c r="K166" s="958">
        <x:f>'2. Service'!M7</x:f>
        <x:v>6000</x:v>
      </x:c>
      <x:c r="L166" s="958" t="str">
        <x:f>'2. Service'!N7</x:f>
        <x:v>-</x:v>
      </x:c>
      <x:c r="M166" s="958" t="str">
        <x:f>'2. Service'!O7</x:f>
        <x:v>-</x:v>
      </x:c>
      <x:c r="N166" s="1024"/>
      <x:c r="O166" s="959" t="s">
        <x:v>1247</x:v>
      </x:c>
      <x:c r="P166" s="960"/>
    </x:row>
    <x:row r="167" spans="1:18" ht="16.899999999999999" customHeight="1">
      <x:c r="A167" s="1023" t="s">
        <x:v>116</x:v>
      </x:c>
      <x:c r="B167" s="958">
        <x:f>'6. Social Benefit-2'!D32</x:f>
        <x:v>8567</x:v>
      </x:c>
      <x:c r="C167" s="958">
        <x:f>'6. Social Benefit-2'!E32</x:f>
        <x:v>8567</x:v>
      </x:c>
      <x:c r="D167" s="958">
        <x:f>'6. Social Benefit-2'!F32</x:f>
        <x:v>8567</x:v>
      </x:c>
      <x:c r="E167" s="958">
        <x:f>'6. Social Benefit-2'!G32</x:f>
        <x:v>8567</x:v>
      </x:c>
      <x:c r="F167" s="958">
        <x:f>'6. Social Benefit-2'!H32</x:f>
        <x:v>8567</x:v>
      </x:c>
      <x:c r="G167" s="958">
        <x:f>'6. Social Benefit-2'!I32</x:f>
        <x:v>8567</x:v>
      </x:c>
      <x:c r="H167" s="958">
        <x:f>'6. Social Benefit-2'!J32</x:f>
        <x:v>8567</x:v>
      </x:c>
      <x:c r="I167" s="958">
        <x:f>'6. Social Benefit-2'!K32</x:f>
        <x:v>8567</x:v>
      </x:c>
      <x:c r="J167" s="958">
        <x:f>'6. Social Benefit-2'!L32</x:f>
        <x:v>8567</x:v>
      </x:c>
      <x:c r="K167" s="958">
        <x:f>'6. Social Benefit-2'!M32</x:f>
        <x:v>8567</x:v>
      </x:c>
      <x:c r="L167" s="958">
        <x:f>'6. Social Benefit-2'!N32</x:f>
        <x:v>8567</x:v>
      </x:c>
      <x:c r="M167" s="958">
        <x:f>'6. Social Benefit-2'!O32</x:f>
        <x:v>8567</x:v>
      </x:c>
      <x:c r="N167" s="1024"/>
      <x:c r="O167" s="959" t="s">
        <x:v>1246</x:v>
      </x:c>
      <x:c r="P167" s="960"/>
    </x:row>
    <x:row r="168" spans="1:18" ht="16.899999999999999" customHeight="1">
      <x:c r="A168" s="1026" t="s">
        <x:v>90</x:v>
      </x:c>
      <x:c r="B168" s="961" t="s">
        <x:v>1505</x:v>
      </x:c>
      <x:c r="C168" s="961" t="s">
        <x:v>1505</x:v>
      </x:c>
      <x:c r="D168" s="961" t="s">
        <x:v>1505</x:v>
      </x:c>
      <x:c r="E168" s="961" t="s">
        <x:v>1505</x:v>
      </x:c>
      <x:c r="F168" s="961" t="s">
        <x:v>1505</x:v>
      </x:c>
      <x:c r="G168" s="961" t="s">
        <x:v>1505</x:v>
      </x:c>
      <x:c r="H168" s="961" t="s">
        <x:v>1505</x:v>
      </x:c>
      <x:c r="I168" s="961" t="s">
        <x:v>1505</x:v>
      </x:c>
      <x:c r="J168" s="961" t="s">
        <x:v>1505</x:v>
      </x:c>
      <x:c r="K168" s="961" t="s">
        <x:v>1505</x:v>
      </x:c>
      <x:c r="L168" s="961" t="s">
        <x:v>1505</x:v>
      </x:c>
      <x:c r="M168" s="961" t="s">
        <x:v>1505</x:v>
      </x:c>
      <x:c r="N168" s="1024"/>
      <x:c r="O168" s="959"/>
      <x:c r="P168" s="960"/>
    </x:row>
    <x:row r="169" spans="1:18" ht="16.899999999999999" customHeight="1">
      <x:c r="B169" s="964"/>
      <x:c r="C169" s="964"/>
      <x:c r="D169" s="964"/>
      <x:c r="E169" s="964"/>
      <x:c r="F169" s="964"/>
      <x:c r="G169" s="964"/>
      <x:c r="H169" s="964"/>
      <x:c r="I169" s="964"/>
      <x:c r="J169" s="964"/>
      <x:c r="K169" s="964"/>
      <x:c r="L169" s="964"/>
      <x:c r="M169" s="964"/>
      <x:c r="O169" s="965"/>
      <x:c r="P169" s="966"/>
    </x:row>
    <x:row r="170" spans="1:18" ht="16.899999999999999" customHeight="1">
      <x:c r="A170" s="1022" t="s">
        <x:v>117</x:v>
      </x:c>
      <x:c r="B170" s="968">
        <x:f>SUM(B171:B174)</x:f>
        <x:v>25778.470399999998</x:v>
      </x:c>
      <x:c r="C170" s="968">
        <x:f t="shared" ref="C170:M170" si="26">SUM(C171:C174)</x:f>
        <x:v>25778.470399999998</x:v>
      </x:c>
      <x:c r="D170" s="968">
        <x:f t="shared" si="26"/>
        <x:v>25778.470399999998</x:v>
      </x:c>
      <x:c r="E170" s="968">
        <x:f t="shared" si="26"/>
        <x:v>25778.470399999998</x:v>
      </x:c>
      <x:c r="F170" s="968">
        <x:f t="shared" si="26"/>
        <x:v>25778.470399999998</x:v>
      </x:c>
      <x:c r="G170" s="968">
        <x:f t="shared" si="26"/>
        <x:v>25778.470399999998</x:v>
      </x:c>
      <x:c r="H170" s="968">
        <x:f t="shared" si="26"/>
        <x:v>25778.470399999998</x:v>
      </x:c>
      <x:c r="I170" s="968">
        <x:f t="shared" si="26"/>
        <x:v>25778.470399999998</x:v>
      </x:c>
      <x:c r="J170" s="968">
        <x:f t="shared" si="26"/>
        <x:v>25778.470399999998</x:v>
      </x:c>
      <x:c r="K170" s="968">
        <x:f t="shared" si="26"/>
        <x:v>25778.470399999998</x:v>
      </x:c>
      <x:c r="L170" s="968">
        <x:f t="shared" si="26"/>
        <x:v>25778.470399999998</x:v>
      </x:c>
      <x:c r="M170" s="968">
        <x:f t="shared" si="26"/>
        <x:v>25778.470399999998</x:v>
      </x:c>
      <x:c r="O170" s="969"/>
      <x:c r="P170" s="970"/>
      <x:c r="R170" s="964">
        <x:f>+SUM(B170:M170)</x:f>
        <x:v>309341.64479999995</x:v>
      </x:c>
    </x:row>
    <x:row r="171" spans="1:18" ht="16.899999999999999" customHeight="1">
      <x:c r="A171" s="1023" t="s">
        <x:v>117</x:v>
      </x:c>
      <x:c r="B171" s="958">
        <x:f>SUM('7. Commucation '!$D$6:$D$9)</x:f>
        <x:v>6210</x:v>
      </x:c>
      <x:c r="C171" s="958">
        <x:f>SUM('7. Commucation '!$D$6:$D$9)</x:f>
        <x:v>6210</x:v>
      </x:c>
      <x:c r="D171" s="958">
        <x:f>SUM('7. Commucation '!$D$6:$D$9)</x:f>
        <x:v>6210</x:v>
      </x:c>
      <x:c r="E171" s="958">
        <x:f>SUM('7. Commucation '!$D$6:$D$9)</x:f>
        <x:v>6210</x:v>
      </x:c>
      <x:c r="F171" s="958">
        <x:f>SUM('7. Commucation '!$D$6:$D$9)</x:f>
        <x:v>6210</x:v>
      </x:c>
      <x:c r="G171" s="958">
        <x:f>SUM('7. Commucation '!$D$6:$D$9)</x:f>
        <x:v>6210</x:v>
      </x:c>
      <x:c r="H171" s="958">
        <x:f>SUM('7. Commucation '!$D$6:$D$9)</x:f>
        <x:v>6210</x:v>
      </x:c>
      <x:c r="I171" s="958">
        <x:f>SUM('7. Commucation '!$D$6:$D$9)</x:f>
        <x:v>6210</x:v>
      </x:c>
      <x:c r="J171" s="958">
        <x:f>SUM('7. Commucation '!$D$6:$D$9)</x:f>
        <x:v>6210</x:v>
      </x:c>
      <x:c r="K171" s="958">
        <x:f>SUM('7. Commucation '!$D$6:$D$9)</x:f>
        <x:v>6210</x:v>
      </x:c>
      <x:c r="L171" s="958">
        <x:f>SUM('7. Commucation '!$D$6:$D$9)</x:f>
        <x:v>6210</x:v>
      </x:c>
      <x:c r="M171" s="958">
        <x:f>SUM('7. Commucation '!$D$6:$D$9)</x:f>
        <x:v>6210</x:v>
      </x:c>
      <x:c r="N171" s="1024"/>
      <x:c r="O171" s="959" t="s">
        <x:v>1243</x:v>
      </x:c>
      <x:c r="P171" s="960"/>
      <x:c r="R171" s="1025">
        <x:f>+R170-SUM(B171:M174)</x:f>
        <x:v>0</x:v>
      </x:c>
    </x:row>
    <x:row r="172" spans="1:18" ht="16.899999999999999" customHeight="1">
      <x:c r="A172" s="1023" t="s">
        <x:v>118</x:v>
      </x:c>
      <x:c r="B172" s="958">
        <x:f>'7. Commucation '!$D$5</x:f>
        <x:v>14568.4704</x:v>
      </x:c>
      <x:c r="C172" s="958">
        <x:f>'7. Commucation '!$D$5</x:f>
        <x:v>14568.4704</x:v>
      </x:c>
      <x:c r="D172" s="958">
        <x:f>'7. Commucation '!$D$5</x:f>
        <x:v>14568.4704</x:v>
      </x:c>
      <x:c r="E172" s="958">
        <x:f>'7. Commucation '!$D$5</x:f>
        <x:v>14568.4704</x:v>
      </x:c>
      <x:c r="F172" s="958">
        <x:f>'7. Commucation '!$D$5</x:f>
        <x:v>14568.4704</x:v>
      </x:c>
      <x:c r="G172" s="958">
        <x:f>'7. Commucation '!$D$5</x:f>
        <x:v>14568.4704</x:v>
      </x:c>
      <x:c r="H172" s="958">
        <x:f>'7. Commucation '!$D$5</x:f>
        <x:v>14568.4704</x:v>
      </x:c>
      <x:c r="I172" s="958">
        <x:f>'7. Commucation '!$D$5</x:f>
        <x:v>14568.4704</x:v>
      </x:c>
      <x:c r="J172" s="958">
        <x:f>'7. Commucation '!$D$5</x:f>
        <x:v>14568.4704</x:v>
      </x:c>
      <x:c r="K172" s="958">
        <x:f>'7. Commucation '!$D$5</x:f>
        <x:v>14568.4704</x:v>
      </x:c>
      <x:c r="L172" s="958">
        <x:f>'7. Commucation '!$D$5</x:f>
        <x:v>14568.4704</x:v>
      </x:c>
      <x:c r="M172" s="958">
        <x:f>'7. Commucation '!$D$5</x:f>
        <x:v>14568.4704</x:v>
      </x:c>
      <x:c r="N172" s="1024"/>
      <x:c r="O172" s="959" t="s">
        <x:v>1242</x:v>
      </x:c>
      <x:c r="P172" s="960"/>
    </x:row>
    <x:row r="173" spans="1:18" ht="16.899999999999999" customHeight="1">
      <x:c r="A173" s="1023" t="s">
        <x:v>1077</x:v>
      </x:c>
      <x:c r="B173" s="958">
        <x:f>'2. Service'!D8</x:f>
        <x:v>5000</x:v>
      </x:c>
      <x:c r="C173" s="958">
        <x:f>'2. Service'!E8</x:f>
        <x:v>5000</x:v>
      </x:c>
      <x:c r="D173" s="958">
        <x:f>'2. Service'!F8</x:f>
        <x:v>5000</x:v>
      </x:c>
      <x:c r="E173" s="958">
        <x:f>'2. Service'!G8</x:f>
        <x:v>5000</x:v>
      </x:c>
      <x:c r="F173" s="958">
        <x:f>'2. Service'!H8</x:f>
        <x:v>5000</x:v>
      </x:c>
      <x:c r="G173" s="958">
        <x:f>'2. Service'!I8</x:f>
        <x:v>5000</x:v>
      </x:c>
      <x:c r="H173" s="958">
        <x:f>'2. Service'!J8</x:f>
        <x:v>5000</x:v>
      </x:c>
      <x:c r="I173" s="958">
        <x:f>'2. Service'!K8</x:f>
        <x:v>5000</x:v>
      </x:c>
      <x:c r="J173" s="958">
        <x:f>'2. Service'!L8</x:f>
        <x:v>5000</x:v>
      </x:c>
      <x:c r="K173" s="958">
        <x:f>'2. Service'!M8</x:f>
        <x:v>5000</x:v>
      </x:c>
      <x:c r="L173" s="958">
        <x:f>'2. Service'!N8</x:f>
        <x:v>5000</x:v>
      </x:c>
      <x:c r="M173" s="958">
        <x:f>'2. Service'!O8</x:f>
        <x:v>5000</x:v>
      </x:c>
      <x:c r="N173" s="1024"/>
      <x:c r="O173" s="959"/>
      <x:c r="P173" s="960"/>
    </x:row>
    <x:row r="174" spans="1:18" ht="16.899999999999999" customHeight="1">
      <x:c r="A174" s="1026" t="s">
        <x:v>56</x:v>
      </x:c>
      <x:c r="B174" s="961" t="s">
        <x:v>1505</x:v>
      </x:c>
      <x:c r="C174" s="961" t="s">
        <x:v>1505</x:v>
      </x:c>
      <x:c r="D174" s="961" t="s">
        <x:v>1505</x:v>
      </x:c>
      <x:c r="E174" s="961" t="s">
        <x:v>1505</x:v>
      </x:c>
      <x:c r="F174" s="961" t="s">
        <x:v>1505</x:v>
      </x:c>
      <x:c r="G174" s="961" t="s">
        <x:v>1505</x:v>
      </x:c>
      <x:c r="H174" s="961" t="s">
        <x:v>1505</x:v>
      </x:c>
      <x:c r="I174" s="961" t="s">
        <x:v>1505</x:v>
      </x:c>
      <x:c r="J174" s="961" t="s">
        <x:v>1505</x:v>
      </x:c>
      <x:c r="K174" s="961" t="s">
        <x:v>1505</x:v>
      </x:c>
      <x:c r="L174" s="961" t="s">
        <x:v>1505</x:v>
      </x:c>
      <x:c r="M174" s="961" t="s">
        <x:v>1505</x:v>
      </x:c>
      <x:c r="O174" s="1001"/>
      <x:c r="P174" s="1002"/>
    </x:row>
    <x:row r="175" spans="1:18" ht="16.899999999999999" customHeight="1">
      <x:c r="B175" s="964"/>
      <x:c r="C175" s="964"/>
      <x:c r="D175" s="964"/>
      <x:c r="E175" s="964"/>
      <x:c r="F175" s="964"/>
      <x:c r="G175" s="964"/>
      <x:c r="H175" s="964"/>
      <x:c r="I175" s="964"/>
      <x:c r="J175" s="964"/>
      <x:c r="K175" s="964"/>
      <x:c r="L175" s="964"/>
      <x:c r="M175" s="964"/>
      <x:c r="O175" s="965"/>
      <x:c r="P175" s="966"/>
    </x:row>
    <x:row r="176" spans="1:18" ht="16.899999999999999" customHeight="1">
      <x:c r="A176" s="1022" t="s">
        <x:v>119</x:v>
      </x:c>
      <x:c r="B176" s="968">
        <x:f>SUM(B177:B178)</x:f>
        <x:v>0</x:v>
      </x:c>
      <x:c r="C176" s="968">
        <x:f t="shared" ref="C176:M176" si="27">SUM(C177:C178)</x:f>
        <x:v>0</x:v>
      </x:c>
      <x:c r="D176" s="968">
        <x:f t="shared" si="27"/>
        <x:v>0</x:v>
      </x:c>
      <x:c r="E176" s="968">
        <x:f t="shared" si="27"/>
        <x:v>12000</x:v>
      </x:c>
      <x:c r="F176" s="968">
        <x:f t="shared" si="27"/>
        <x:v>0</x:v>
      </x:c>
      <x:c r="G176" s="968">
        <x:f t="shared" si="27"/>
        <x:v>0</x:v>
      </x:c>
      <x:c r="H176" s="968">
        <x:f t="shared" si="27"/>
        <x:v>0</x:v>
      </x:c>
      <x:c r="I176" s="968">
        <x:f t="shared" si="27"/>
        <x:v>12000</x:v>
      </x:c>
      <x:c r="J176" s="968">
        <x:f t="shared" si="27"/>
        <x:v>0</x:v>
      </x:c>
      <x:c r="K176" s="968">
        <x:f t="shared" si="27"/>
        <x:v>0</x:v>
      </x:c>
      <x:c r="L176" s="968">
        <x:f t="shared" si="27"/>
        <x:v>0</x:v>
      </x:c>
      <x:c r="M176" s="968">
        <x:f t="shared" si="27"/>
        <x:v>12000</x:v>
      </x:c>
      <x:c r="O176" s="969"/>
      <x:c r="P176" s="970"/>
      <x:c r="R176" s="964">
        <x:f>+SUM(B176:M176)</x:f>
        <x:v>36000</x:v>
      </x:c>
    </x:row>
    <x:row r="177" spans="1:18" ht="16.899999999999999" customHeight="1">
      <x:c r="A177" s="1023" t="s">
        <x:v>120</x:v>
      </x:c>
      <x:c r="B177" s="958">
        <x:f>'6. Social Benefit-2'!D34</x:f>
        <x:v>0</x:v>
      </x:c>
      <x:c r="C177" s="958">
        <x:f>'6. Social Benefit-2'!E34</x:f>
        <x:v>0</x:v>
      </x:c>
      <x:c r="D177" s="958">
        <x:f>'6. Social Benefit-2'!F34</x:f>
        <x:v>0</x:v>
      </x:c>
      <x:c r="E177" s="958">
        <x:f>'6. Social Benefit-2'!G34</x:f>
        <x:v>12000</x:v>
      </x:c>
      <x:c r="F177" s="958">
        <x:f>'6. Social Benefit-2'!H34</x:f>
        <x:v>0</x:v>
      </x:c>
      <x:c r="G177" s="958">
        <x:f>'6. Social Benefit-2'!I34</x:f>
        <x:v>0</x:v>
      </x:c>
      <x:c r="H177" s="958">
        <x:f>'6. Social Benefit-2'!J34</x:f>
        <x:v>0</x:v>
      </x:c>
      <x:c r="I177" s="958">
        <x:f>'6. Social Benefit-2'!K34</x:f>
        <x:v>12000</x:v>
      </x:c>
      <x:c r="J177" s="958">
        <x:f>'6. Social Benefit-2'!L34</x:f>
        <x:v>0</x:v>
      </x:c>
      <x:c r="K177" s="958">
        <x:f>'6. Social Benefit-2'!M34</x:f>
        <x:v>0</x:v>
      </x:c>
      <x:c r="L177" s="958">
        <x:f>'6. Social Benefit-2'!N34</x:f>
        <x:v>0</x:v>
      </x:c>
      <x:c r="M177" s="958">
        <x:f>'6. Social Benefit-2'!O34</x:f>
        <x:v>12000</x:v>
      </x:c>
      <x:c r="N177" s="1024"/>
      <x:c r="O177" s="959" t="s">
        <x:v>1506</x:v>
      </x:c>
      <x:c r="P177" s="960"/>
      <x:c r="R177" s="1025">
        <x:f>+R176-SUM(B177:M178)</x:f>
        <x:v>0</x:v>
      </x:c>
    </x:row>
    <x:row r="178" spans="1:18" ht="16.899999999999999" customHeight="1">
      <x:c r="A178" s="1026" t="s">
        <x:v>56</x:v>
      </x:c>
      <x:c r="B178" s="961" t="s">
        <x:v>1505</x:v>
      </x:c>
      <x:c r="C178" s="961" t="s">
        <x:v>1505</x:v>
      </x:c>
      <x:c r="D178" s="961" t="s">
        <x:v>1505</x:v>
      </x:c>
      <x:c r="E178" s="961" t="s">
        <x:v>1505</x:v>
      </x:c>
      <x:c r="F178" s="961" t="s">
        <x:v>1505</x:v>
      </x:c>
      <x:c r="G178" s="961" t="s">
        <x:v>1505</x:v>
      </x:c>
      <x:c r="H178" s="961" t="s">
        <x:v>1505</x:v>
      </x:c>
      <x:c r="I178" s="961" t="s">
        <x:v>1505</x:v>
      </x:c>
      <x:c r="J178" s="961" t="s">
        <x:v>1505</x:v>
      </x:c>
      <x:c r="K178" s="961" t="s">
        <x:v>1505</x:v>
      </x:c>
      <x:c r="L178" s="961" t="s">
        <x:v>1505</x:v>
      </x:c>
      <x:c r="M178" s="961" t="s">
        <x:v>1505</x:v>
      </x:c>
      <x:c r="N178" s="1024"/>
      <x:c r="O178" s="962"/>
      <x:c r="P178" s="963"/>
    </x:row>
    <x:row r="179" spans="1:18" ht="16.899999999999999" customHeight="1">
      <x:c r="B179" s="964"/>
      <x:c r="C179" s="964"/>
      <x:c r="D179" s="964"/>
      <x:c r="E179" s="964"/>
      <x:c r="F179" s="964"/>
      <x:c r="G179" s="964"/>
      <x:c r="H179" s="964"/>
      <x:c r="I179" s="964"/>
      <x:c r="J179" s="964"/>
      <x:c r="K179" s="964"/>
      <x:c r="L179" s="964"/>
      <x:c r="M179" s="964"/>
      <x:c r="O179" s="965"/>
      <x:c r="P179" s="966"/>
    </x:row>
    <x:row r="180" spans="1:18" ht="16.899999999999999" customHeight="1">
      <x:c r="A180" s="1022" t="s">
        <x:v>121</x:v>
      </x:c>
      <x:c r="B180" s="968">
        <x:f>SUM(B181:B182)</x:f>
        <x:v>30000</x:v>
      </x:c>
      <x:c r="C180" s="968">
        <x:f t="shared" ref="C180:M180" si="28">SUM(C181:C182)</x:f>
        <x:v>30000</x:v>
      </x:c>
      <x:c r="D180" s="968">
        <x:f t="shared" si="28"/>
        <x:v>30000</x:v>
      </x:c>
      <x:c r="E180" s="968">
        <x:f t="shared" si="28"/>
        <x:v>30000</x:v>
      </x:c>
      <x:c r="F180" s="968">
        <x:f t="shared" si="28"/>
        <x:v>30000</x:v>
      </x:c>
      <x:c r="G180" s="968">
        <x:f t="shared" si="28"/>
        <x:v>30000</x:v>
      </x:c>
      <x:c r="H180" s="968">
        <x:f t="shared" si="28"/>
        <x:v>30000</x:v>
      </x:c>
      <x:c r="I180" s="968">
        <x:f t="shared" si="28"/>
        <x:v>30000</x:v>
      </x:c>
      <x:c r="J180" s="968">
        <x:f t="shared" si="28"/>
        <x:v>30000</x:v>
      </x:c>
      <x:c r="K180" s="968">
        <x:f t="shared" si="28"/>
        <x:v>30000</x:v>
      </x:c>
      <x:c r="L180" s="968">
        <x:f t="shared" si="28"/>
        <x:v>30000</x:v>
      </x:c>
      <x:c r="M180" s="968">
        <x:f t="shared" si="28"/>
        <x:v>330000</x:v>
      </x:c>
      <x:c r="O180" s="969"/>
      <x:c r="P180" s="970"/>
      <x:c r="R180" s="964">
        <x:f>+SUM(B180:M180)</x:f>
        <x:v>660000</x:v>
      </x:c>
    </x:row>
    <x:row r="181" spans="1:18" ht="16.899999999999999" customHeight="1">
      <x:c r="A181" s="1023" t="s">
        <x:v>122</x:v>
      </x:c>
      <x:c r="B181" s="958">
        <x:f>'14. Training'!D5</x:f>
        <x:v>30000</x:v>
      </x:c>
      <x:c r="C181" s="958">
        <x:f>'14. Training'!E5</x:f>
        <x:v>30000</x:v>
      </x:c>
      <x:c r="D181" s="958">
        <x:f>'14. Training'!F5</x:f>
        <x:v>30000</x:v>
      </x:c>
      <x:c r="E181" s="958">
        <x:f>'14. Training'!G5</x:f>
        <x:v>30000</x:v>
      </x:c>
      <x:c r="F181" s="958">
        <x:f>'14. Training'!H5</x:f>
        <x:v>30000</x:v>
      </x:c>
      <x:c r="G181" s="958">
        <x:f>'14. Training'!I5</x:f>
        <x:v>30000</x:v>
      </x:c>
      <x:c r="H181" s="958">
        <x:f>'14. Training'!J5</x:f>
        <x:v>30000</x:v>
      </x:c>
      <x:c r="I181" s="958">
        <x:f>'14. Training'!K5</x:f>
        <x:v>30000</x:v>
      </x:c>
      <x:c r="J181" s="958">
        <x:f>'14. Training'!L5</x:f>
        <x:v>30000</x:v>
      </x:c>
      <x:c r="K181" s="958">
        <x:f>'14. Training'!M5</x:f>
        <x:v>30000</x:v>
      </x:c>
      <x:c r="L181" s="958">
        <x:f>'14. Training'!N5</x:f>
        <x:v>30000</x:v>
      </x:c>
      <x:c r="M181" s="958">
        <x:f>'14. Training'!O5</x:f>
        <x:v>30000</x:v>
      </x:c>
      <x:c r="N181" s="1024"/>
      <x:c r="O181" s="959" t="s">
        <x:v>1240</x:v>
      </x:c>
      <x:c r="P181" s="960" t="s">
        <x:v>1232</x:v>
      </x:c>
      <x:c r="R181" s="1025">
        <x:f>+R180-SUM(B181:M182)</x:f>
        <x:v>0</x:v>
      </x:c>
    </x:row>
    <x:row r="182" spans="1:18" ht="16.899999999999999" customHeight="1">
      <x:c r="A182" s="1026" t="s">
        <x:v>123</x:v>
      </x:c>
      <x:c r="B182" s="961"/>
      <x:c r="C182" s="961"/>
      <x:c r="D182" s="961"/>
      <x:c r="E182" s="961"/>
      <x:c r="F182" s="961"/>
      <x:c r="G182" s="961"/>
      <x:c r="H182" s="961"/>
      <x:c r="I182" s="961"/>
      <x:c r="J182" s="961"/>
      <x:c r="K182" s="961"/>
      <x:c r="L182" s="961"/>
      <x:c r="M182" s="961">
        <x:v>300000</x:v>
      </x:c>
      <x:c r="N182" s="1024"/>
      <x:c r="O182" s="962" t="s">
        <x:v>1241</x:v>
      </x:c>
      <x:c r="P182" s="963"/>
    </x:row>
    <x:row r="183" spans="1:18" ht="16.899999999999999" customHeight="1">
      <x:c r="B183" s="964"/>
      <x:c r="C183" s="964"/>
      <x:c r="D183" s="964"/>
      <x:c r="E183" s="964"/>
      <x:c r="F183" s="964"/>
      <x:c r="G183" s="964"/>
      <x:c r="H183" s="964"/>
      <x:c r="I183" s="964"/>
      <x:c r="J183" s="964"/>
      <x:c r="K183" s="964"/>
      <x:c r="L183" s="964"/>
      <x:c r="M183" s="964"/>
      <x:c r="O183" s="965"/>
      <x:c r="P183" s="966"/>
    </x:row>
    <x:row r="184" spans="1:18" ht="16.899999999999999" customHeight="1">
      <x:c r="A184" s="1022" t="s">
        <x:v>124</x:v>
      </x:c>
      <x:c r="B184" s="968">
        <x:f>SUM(B185:B187)</x:f>
        <x:v>8000</x:v>
      </x:c>
      <x:c r="C184" s="968">
        <x:f t="shared" ref="C184:M184" si="29">SUM(C185:C187)</x:f>
        <x:v>8000</x:v>
      </x:c>
      <x:c r="D184" s="968">
        <x:f t="shared" si="29"/>
        <x:v>8000</x:v>
      </x:c>
      <x:c r="E184" s="968">
        <x:f t="shared" si="29"/>
        <x:v>8000</x:v>
      </x:c>
      <x:c r="F184" s="968">
        <x:f t="shared" si="29"/>
        <x:v>8000</x:v>
      </x:c>
      <x:c r="G184" s="968">
        <x:f t="shared" si="29"/>
        <x:v>8000</x:v>
      </x:c>
      <x:c r="H184" s="968">
        <x:f t="shared" si="29"/>
        <x:v>8000</x:v>
      </x:c>
      <x:c r="I184" s="968">
        <x:f t="shared" si="29"/>
        <x:v>8000</x:v>
      </x:c>
      <x:c r="J184" s="968">
        <x:f t="shared" si="29"/>
        <x:v>8000</x:v>
      </x:c>
      <x:c r="K184" s="968">
        <x:f t="shared" si="29"/>
        <x:v>8000</x:v>
      </x:c>
      <x:c r="L184" s="968">
        <x:f t="shared" si="29"/>
        <x:v>8000</x:v>
      </x:c>
      <x:c r="M184" s="968">
        <x:f t="shared" si="29"/>
        <x:v>8000</x:v>
      </x:c>
      <x:c r="O184" s="969"/>
      <x:c r="P184" s="970"/>
      <x:c r="R184" s="964">
        <x:f>+SUM(B184:M184)</x:f>
        <x:v>96000</x:v>
      </x:c>
    </x:row>
    <x:row r="185" spans="1:18" ht="16.899999999999999" customHeight="1">
      <x:c r="A185" s="1023" t="s">
        <x:v>125</x:v>
      </x:c>
      <x:c r="B185" s="958"/>
      <x:c r="C185" s="958"/>
      <x:c r="D185" s="958"/>
      <x:c r="E185" s="958"/>
      <x:c r="F185" s="958"/>
      <x:c r="G185" s="958"/>
      <x:c r="H185" s="958"/>
      <x:c r="I185" s="958"/>
      <x:c r="J185" s="958"/>
      <x:c r="K185" s="958"/>
      <x:c r="L185" s="958"/>
      <x:c r="M185" s="958"/>
      <x:c r="N185" s="1024"/>
      <x:c r="O185" s="959"/>
      <x:c r="P185" s="960"/>
      <x:c r="R185" s="1025">
        <x:f>+R184-SUM(B185:M187)</x:f>
        <x:v>0</x:v>
      </x:c>
    </x:row>
    <x:row r="186" spans="1:18" ht="16.899999999999999" customHeight="1">
      <x:c r="A186" s="1023" t="s">
        <x:v>126</x:v>
      </x:c>
      <x:c r="B186" s="958">
        <x:v>8000</x:v>
      </x:c>
      <x:c r="C186" s="958">
        <x:v>8000</x:v>
      </x:c>
      <x:c r="D186" s="958">
        <x:v>8000</x:v>
      </x:c>
      <x:c r="E186" s="958">
        <x:v>8000</x:v>
      </x:c>
      <x:c r="F186" s="958">
        <x:v>8000</x:v>
      </x:c>
      <x:c r="G186" s="958">
        <x:v>8000</x:v>
      </x:c>
      <x:c r="H186" s="958">
        <x:v>8000</x:v>
      </x:c>
      <x:c r="I186" s="958">
        <x:v>8000</x:v>
      </x:c>
      <x:c r="J186" s="958">
        <x:v>8000</x:v>
      </x:c>
      <x:c r="K186" s="958">
        <x:v>8000</x:v>
      </x:c>
      <x:c r="L186" s="958">
        <x:v>8000</x:v>
      </x:c>
      <x:c r="M186" s="958">
        <x:v>8000</x:v>
      </x:c>
      <x:c r="N186" s="1024"/>
      <x:c r="O186" s="959" t="s">
        <x:v>1239</x:v>
      </x:c>
      <x:c r="P186" s="960" t="s">
        <x:v>1232</x:v>
      </x:c>
    </x:row>
    <x:row r="187" spans="1:18" ht="16.899999999999999" customHeight="1">
      <x:c r="A187" s="1026" t="s">
        <x:v>90</x:v>
      </x:c>
      <x:c r="B187" s="961"/>
      <x:c r="C187" s="961"/>
      <x:c r="D187" s="961"/>
      <x:c r="E187" s="961"/>
      <x:c r="F187" s="961"/>
      <x:c r="G187" s="961"/>
      <x:c r="H187" s="961"/>
      <x:c r="I187" s="961"/>
      <x:c r="J187" s="961"/>
      <x:c r="K187" s="961"/>
      <x:c r="L187" s="961"/>
      <x:c r="M187" s="961"/>
      <x:c r="N187" s="1024"/>
      <x:c r="O187" s="962"/>
      <x:c r="P187" s="963"/>
    </x:row>
    <x:row r="188" spans="1:18" ht="16.899999999999999" customHeight="1">
      <x:c r="B188" s="964"/>
      <x:c r="C188" s="964"/>
      <x:c r="D188" s="964"/>
      <x:c r="E188" s="964"/>
      <x:c r="F188" s="964"/>
      <x:c r="G188" s="964"/>
      <x:c r="H188" s="964"/>
      <x:c r="I188" s="964"/>
      <x:c r="J188" s="964"/>
      <x:c r="K188" s="964"/>
      <x:c r="L188" s="964"/>
      <x:c r="M188" s="964"/>
      <x:c r="O188" s="965"/>
      <x:c r="P188" s="966"/>
    </x:row>
    <x:row r="189" spans="1:18" ht="16.899999999999999" customHeight="1">
      <x:c r="A189" s="1022" t="s">
        <x:v>127</x:v>
      </x:c>
      <x:c r="B189" s="968">
        <x:f>SUM(B190)</x:f>
        <x:v>104392.55122172619</x:v>
      </x:c>
      <x:c r="C189" s="968">
        <x:f t="shared" ref="C189:M189" si="30">SUM(C190)</x:f>
        <x:v>104392.55122172619</x:v>
      </x:c>
      <x:c r="D189" s="968">
        <x:f t="shared" si="30"/>
        <x:v>104392.55122172619</x:v>
      </x:c>
      <x:c r="E189" s="968">
        <x:f t="shared" si="30"/>
        <x:v>104392.55122172619</x:v>
      </x:c>
      <x:c r="F189" s="968">
        <x:f t="shared" si="30"/>
        <x:v>104392.55122172619</x:v>
      </x:c>
      <x:c r="G189" s="968">
        <x:f t="shared" si="30"/>
        <x:v>104392.55122172619</x:v>
      </x:c>
      <x:c r="H189" s="968">
        <x:f t="shared" si="30"/>
        <x:v>104392.55122172619</x:v>
      </x:c>
      <x:c r="I189" s="968">
        <x:f t="shared" si="30"/>
        <x:v>104392.55122172619</x:v>
      </x:c>
      <x:c r="J189" s="968">
        <x:f t="shared" si="30"/>
        <x:v>104392.55122172619</x:v>
      </x:c>
      <x:c r="K189" s="968">
        <x:f t="shared" si="30"/>
        <x:v>104392.55122172619</x:v>
      </x:c>
      <x:c r="L189" s="968">
        <x:f t="shared" si="30"/>
        <x:v>104392.55122172619</x:v>
      </x:c>
      <x:c r="M189" s="968">
        <x:f t="shared" si="30"/>
        <x:v>104392.55122172619</x:v>
      </x:c>
      <x:c r="O189" s="969"/>
      <x:c r="P189" s="970"/>
      <x:c r="R189" s="964">
        <x:f>+SUM(B189:M189)</x:f>
        <x:v>1252710.6146607145</x:v>
      </x:c>
    </x:row>
    <x:row r="190" spans="1:18" ht="16.899999999999999" customHeight="1">
      <x:c r="A190" s="1026" t="s">
        <x:v>127</x:v>
      </x:c>
      <x:c r="B190" s="961">
        <x:f>'13. Depreciation'!D107</x:f>
        <x:v>104392.55122172619</x:v>
      </x:c>
      <x:c r="C190" s="961">
        <x:f>'13. Depreciation'!E107</x:f>
        <x:v>104392.55122172619</x:v>
      </x:c>
      <x:c r="D190" s="961">
        <x:f>'13. Depreciation'!F107</x:f>
        <x:v>104392.55122172619</x:v>
      </x:c>
      <x:c r="E190" s="961">
        <x:f>'13. Depreciation'!G107</x:f>
        <x:v>104392.55122172619</x:v>
      </x:c>
      <x:c r="F190" s="961">
        <x:f>'13. Depreciation'!H107</x:f>
        <x:v>104392.55122172619</x:v>
      </x:c>
      <x:c r="G190" s="961">
        <x:f>'13. Depreciation'!I107</x:f>
        <x:v>104392.55122172619</x:v>
      </x:c>
      <x:c r="H190" s="961">
        <x:f>'13. Depreciation'!J107</x:f>
        <x:v>104392.55122172619</x:v>
      </x:c>
      <x:c r="I190" s="961">
        <x:f>'13. Depreciation'!K107</x:f>
        <x:v>104392.55122172619</x:v>
      </x:c>
      <x:c r="J190" s="961">
        <x:f>'13. Depreciation'!L107</x:f>
        <x:v>104392.55122172619</x:v>
      </x:c>
      <x:c r="K190" s="961">
        <x:f>'13. Depreciation'!M107</x:f>
        <x:v>104392.55122172619</x:v>
      </x:c>
      <x:c r="L190" s="961">
        <x:f>'13. Depreciation'!N107</x:f>
        <x:v>104392.55122172619</x:v>
      </x:c>
      <x:c r="M190" s="961">
        <x:f>'13. Depreciation'!O107</x:f>
        <x:v>104392.55122172619</x:v>
      </x:c>
      <x:c r="N190" s="1024"/>
      <x:c r="O190" s="959"/>
      <x:c r="P190" s="960"/>
      <x:c r="R190" s="1025">
        <x:f>+R189-SUM(B190:M190)</x:f>
        <x:v>0</x:v>
      </x:c>
    </x:row>
    <x:row r="191" spans="1:18" ht="16.899999999999999" customHeight="1">
      <x:c r="O191" s="1006"/>
      <x:c r="P191" s="1007"/>
    </x:row>
    <x:row r="192" spans="1:18" ht="16.899999999999999" customHeight="1">
      <x:c r="A192" s="1022" t="s">
        <x:v>128</x:v>
      </x:c>
      <x:c r="B192" s="968">
        <x:f>SUM(B193:B195)</x:f>
        <x:v>0</x:v>
      </x:c>
      <x:c r="C192" s="968">
        <x:f t="shared" ref="C192:M192" si="31">SUM(C193:C195)</x:f>
        <x:v>0</x:v>
      </x:c>
      <x:c r="D192" s="968">
        <x:f t="shared" si="31"/>
        <x:v>0</x:v>
      </x:c>
      <x:c r="E192" s="968">
        <x:f t="shared" si="31"/>
        <x:v>0</x:v>
      </x:c>
      <x:c r="F192" s="968">
        <x:f t="shared" si="31"/>
        <x:v>0</x:v>
      </x:c>
      <x:c r="G192" s="968">
        <x:f t="shared" si="31"/>
        <x:v>0</x:v>
      </x:c>
      <x:c r="H192" s="968">
        <x:f t="shared" si="31"/>
        <x:v>0</x:v>
      </x:c>
      <x:c r="I192" s="968">
        <x:f t="shared" si="31"/>
        <x:v>0</x:v>
      </x:c>
      <x:c r="J192" s="968">
        <x:f t="shared" si="31"/>
        <x:v>0</x:v>
      </x:c>
      <x:c r="K192" s="968">
        <x:f t="shared" si="31"/>
        <x:v>0</x:v>
      </x:c>
      <x:c r="L192" s="968">
        <x:f t="shared" si="31"/>
        <x:v>0</x:v>
      </x:c>
      <x:c r="M192" s="968">
        <x:f t="shared" si="31"/>
        <x:v>0</x:v>
      </x:c>
      <x:c r="O192" s="969"/>
      <x:c r="P192" s="970"/>
      <x:c r="R192" s="964">
        <x:f>+SUM(B192:M192)</x:f>
        <x:v>0</x:v>
      </x:c>
    </x:row>
    <x:row r="193" spans="1:18" ht="16.899999999999999" customHeight="1">
      <x:c r="A193" s="1023" t="s">
        <x:v>129</x:v>
      </x:c>
      <x:c r="B193" s="958"/>
      <x:c r="C193" s="958"/>
      <x:c r="D193" s="958"/>
      <x:c r="E193" s="958"/>
      <x:c r="F193" s="958"/>
      <x:c r="G193" s="958"/>
      <x:c r="H193" s="958"/>
      <x:c r="I193" s="958"/>
      <x:c r="J193" s="958"/>
      <x:c r="K193" s="958"/>
      <x:c r="L193" s="958"/>
      <x:c r="M193" s="958"/>
      <x:c r="N193" s="1024"/>
      <x:c r="O193" s="959"/>
      <x:c r="P193" s="960"/>
      <x:c r="R193" s="1025">
        <x:f>+R192-SUM(B193:M195)</x:f>
        <x:v>0</x:v>
      </x:c>
    </x:row>
    <x:row r="194" spans="1:18" ht="16.899999999999999" customHeight="1">
      <x:c r="A194" s="1023" t="s">
        <x:v>130</x:v>
      </x:c>
      <x:c r="B194" s="958"/>
      <x:c r="C194" s="958"/>
      <x:c r="D194" s="958"/>
      <x:c r="E194" s="958"/>
      <x:c r="F194" s="958"/>
      <x:c r="G194" s="958"/>
      <x:c r="H194" s="958"/>
      <x:c r="I194" s="958"/>
      <x:c r="J194" s="958"/>
      <x:c r="K194" s="958"/>
      <x:c r="L194" s="958"/>
      <x:c r="M194" s="958"/>
      <x:c r="N194" s="1024"/>
      <x:c r="O194" s="959"/>
      <x:c r="P194" s="960"/>
    </x:row>
    <x:row r="195" spans="1:18" ht="16.899999999999999" customHeight="1">
      <x:c r="A195" s="1026" t="s">
        <x:v>131</x:v>
      </x:c>
      <x:c r="B195" s="961"/>
      <x:c r="C195" s="961"/>
      <x:c r="D195" s="961"/>
      <x:c r="E195" s="961"/>
      <x:c r="F195" s="961"/>
      <x:c r="G195" s="961"/>
      <x:c r="H195" s="961"/>
      <x:c r="I195" s="961"/>
      <x:c r="J195" s="961"/>
      <x:c r="K195" s="961"/>
      <x:c r="L195" s="961"/>
      <x:c r="M195" s="961"/>
      <x:c r="N195" s="1024"/>
      <x:c r="O195" s="959"/>
      <x:c r="P195" s="960"/>
    </x:row>
    <x:row r="196" spans="1:18" ht="16.899999999999999" customHeight="1">
      <x:c r="B196" s="964"/>
      <x:c r="C196" s="964"/>
      <x:c r="D196" s="964"/>
      <x:c r="E196" s="964"/>
      <x:c r="F196" s="964"/>
      <x:c r="G196" s="964"/>
      <x:c r="H196" s="964"/>
      <x:c r="I196" s="964"/>
      <x:c r="J196" s="964"/>
      <x:c r="K196" s="964"/>
      <x:c r="L196" s="964"/>
      <x:c r="M196" s="964"/>
      <x:c r="O196" s="965"/>
      <x:c r="P196" s="966"/>
    </x:row>
    <x:row r="197" spans="1:18" ht="16.899999999999999" customHeight="1">
      <x:c r="A197" s="1035" t="s">
        <x:v>132</x:v>
      </x:c>
      <x:c r="B197" s="1008"/>
      <x:c r="C197" s="1008"/>
      <x:c r="D197" s="1008"/>
      <x:c r="E197" s="1008"/>
      <x:c r="F197" s="1008"/>
      <x:c r="G197" s="1008"/>
      <x:c r="H197" s="1008"/>
      <x:c r="I197" s="1008"/>
      <x:c r="J197" s="1008"/>
      <x:c r="K197" s="1008"/>
      <x:c r="L197" s="1008"/>
      <x:c r="M197" s="1008"/>
      <x:c r="O197" s="1009"/>
      <x:c r="P197" s="1010"/>
    </x:row>
    <x:row r="198" spans="1:18" s="1024" customFormat="1" ht="16.899999999999999" customHeight="1">
      <x:c r="A198" s="1036"/>
      <x:c r="B198" s="1011"/>
      <x:c r="C198" s="1011"/>
      <x:c r="D198" s="1011"/>
      <x:c r="E198" s="1011"/>
      <x:c r="F198" s="1011"/>
      <x:c r="G198" s="1011"/>
      <x:c r="H198" s="1011"/>
      <x:c r="I198" s="1011"/>
      <x:c r="J198" s="1011"/>
      <x:c r="K198" s="1011"/>
      <x:c r="L198" s="1011"/>
      <x:c r="M198" s="1011"/>
      <x:c r="O198" s="953"/>
      <x:c r="P198" s="878"/>
    </x:row>
    <x:row r="199" spans="1:18" s="1021" customFormat="1" ht="16.899999999999999" customHeight="1">
      <x:c r="A199" s="1019" t="s">
        <x:v>133</x:v>
      </x:c>
      <x:c r="B199" s="954"/>
      <x:c r="C199" s="954"/>
      <x:c r="D199" s="954"/>
      <x:c r="E199" s="954"/>
      <x:c r="F199" s="954"/>
      <x:c r="G199" s="954"/>
      <x:c r="H199" s="954"/>
      <x:c r="I199" s="954"/>
      <x:c r="J199" s="954"/>
      <x:c r="K199" s="954"/>
      <x:c r="L199" s="954"/>
      <x:c r="M199" s="954"/>
      <x:c r="N199" s="878"/>
      <x:c r="O199" s="953"/>
      <x:c r="P199" s="878"/>
      <x:c r="Q199" s="878"/>
      <x:c r="R199" s="1020"/>
    </x:row>
    <x:row r="200" spans="1:18" ht="16.899999999999999" customHeight="1">
      <x:c r="A200" s="1037" t="s">
        <x:v>134</x:v>
      </x:c>
      <x:c r="B200" s="1012">
        <x:f>+SUM(B201:B211)</x:f>
        <x:v>1104821.0256835578</x:v>
      </x:c>
      <x:c r="C200" s="1012">
        <x:f t="shared" ref="C200:M200" si="32">+SUM(C201:C211)</x:f>
        <x:v>1378765.099515351</x:v>
      </x:c>
      <x:c r="D200" s="1012">
        <x:f t="shared" si="32"/>
        <x:v>1962575.1223230574</x:v>
      </x:c>
      <x:c r="E200" s="1012">
        <x:f t="shared" si="32"/>
        <x:v>1637163.5159674087</x:v>
      </x:c>
      <x:c r="F200" s="1012">
        <x:f t="shared" si="32"/>
        <x:v>1498097.1358797671</x:v>
      </x:c>
      <x:c r="G200" s="1012">
        <x:f t="shared" si="32"/>
        <x:v>2282630.8805964892</x:v>
      </x:c>
      <x:c r="H200" s="1012">
        <x:f t="shared" si="32"/>
        <x:v>1397343.3115528899</x:v>
      </x:c>
      <x:c r="I200" s="1012">
        <x:f t="shared" si="32"/>
        <x:v>2080568.7400394289</x:v>
      </x:c>
      <x:c r="J200" s="1012">
        <x:f t="shared" si="32"/>
        <x:v>1878760.6833397052</x:v>
      </x:c>
      <x:c r="K200" s="1012">
        <x:f t="shared" si="32"/>
        <x:v>2760113.4182763924</x:v>
      </x:c>
      <x:c r="L200" s="1012">
        <x:f t="shared" si="32"/>
        <x:v>1955978.4826423966</x:v>
      </x:c>
      <x:c r="M200" s="1012">
        <x:f t="shared" si="32"/>
        <x:v>1989571.0035241731</x:v>
      </x:c>
      <x:c r="O200" s="1013"/>
      <x:c r="P200" s="1014"/>
      <x:c r="R200" s="964">
        <x:f>+SUM(B200:M200)</x:f>
        <x:v>21926388.419340618</x:v>
      </x:c>
    </x:row>
    <x:row r="201" spans="1:18" ht="16.899999999999999" customHeight="1">
      <x:c r="A201" s="1038" t="s">
        <x:v>1081</x:v>
      </x:c>
      <x:c r="B201" s="958">
        <x:f>+'16. non operational'!C5</x:f>
        <x:v>1104821.0256835578</x:v>
      </x:c>
      <x:c r="C201" s="958">
        <x:f>+'16. non operational'!D5</x:f>
        <x:v>1378765.099515351</x:v>
      </x:c>
      <x:c r="D201" s="958">
        <x:f>+'16. non operational'!E5</x:f>
        <x:v>1962575.1223230574</x:v>
      </x:c>
      <x:c r="E201" s="958">
        <x:f>+'16. non operational'!F5</x:f>
        <x:v>1637163.5159674087</x:v>
      </x:c>
      <x:c r="F201" s="958">
        <x:f>+'16. non operational'!G5</x:f>
        <x:v>1498097.1358797671</x:v>
      </x:c>
      <x:c r="G201" s="958">
        <x:f>+'16. non operational'!H5</x:f>
        <x:v>2282630.8805964892</x:v>
      </x:c>
      <x:c r="H201" s="958">
        <x:f>+'16. non operational'!I5</x:f>
        <x:v>1397343.3115528899</x:v>
      </x:c>
      <x:c r="I201" s="958">
        <x:f>+'16. non operational'!J5</x:f>
        <x:v>2080568.7400394289</x:v>
      </x:c>
      <x:c r="J201" s="958">
        <x:f>+'16. non operational'!K5</x:f>
        <x:v>1878760.6833397052</x:v>
      </x:c>
      <x:c r="K201" s="958">
        <x:f>+'16. non operational'!L5</x:f>
        <x:v>2760113.4182763924</x:v>
      </x:c>
      <x:c r="L201" s="958">
        <x:f>+'16. non operational'!M5</x:f>
        <x:v>1955978.4826423966</x:v>
      </x:c>
      <x:c r="M201" s="958">
        <x:f>+'16. non operational'!N5</x:f>
        <x:v>1989571.0035241731</x:v>
      </x:c>
      <x:c r="N201" s="1024"/>
      <x:c r="O201" s="959" t="s">
        <x:v>1238</x:v>
      </x:c>
      <x:c r="P201" s="960"/>
      <x:c r="R201" s="1025">
        <x:f>+R200-SUM(B201:M211)</x:f>
        <x:v>0</x:v>
      </x:c>
    </x:row>
    <x:row r="202" spans="1:18" ht="16.899999999999999" customHeight="1">
      <x:c r="A202" s="1038" t="s">
        <x:v>136</x:v>
      </x:c>
      <x:c r="B202" s="958"/>
      <x:c r="C202" s="958"/>
      <x:c r="D202" s="958"/>
      <x:c r="E202" s="958"/>
      <x:c r="F202" s="958"/>
      <x:c r="G202" s="958"/>
      <x:c r="H202" s="958"/>
      <x:c r="I202" s="958"/>
      <x:c r="J202" s="958"/>
      <x:c r="K202" s="958"/>
      <x:c r="L202" s="958"/>
      <x:c r="M202" s="958"/>
      <x:c r="N202" s="1024"/>
      <x:c r="O202" s="959"/>
      <x:c r="P202" s="960"/>
    </x:row>
    <x:row r="203" spans="1:18" ht="16.899999999999999" customHeight="1">
      <x:c r="A203" s="1038" t="s">
        <x:v>137</x:v>
      </x:c>
      <x:c r="B203" s="958"/>
      <x:c r="C203" s="958"/>
      <x:c r="D203" s="958"/>
      <x:c r="E203" s="958"/>
      <x:c r="F203" s="958"/>
      <x:c r="G203" s="958"/>
      <x:c r="H203" s="958"/>
      <x:c r="I203" s="958"/>
      <x:c r="J203" s="958"/>
      <x:c r="K203" s="958"/>
      <x:c r="L203" s="958"/>
      <x:c r="M203" s="958"/>
      <x:c r="N203" s="1024"/>
      <x:c r="O203" s="959"/>
      <x:c r="P203" s="960"/>
    </x:row>
    <x:row r="204" spans="1:18" ht="16.899999999999999" customHeight="1">
      <x:c r="A204" s="1038" t="s">
        <x:v>138</x:v>
      </x:c>
      <x:c r="B204" s="958"/>
      <x:c r="C204" s="958"/>
      <x:c r="D204" s="958"/>
      <x:c r="E204" s="958"/>
      <x:c r="F204" s="958"/>
      <x:c r="G204" s="958"/>
      <x:c r="H204" s="958"/>
      <x:c r="I204" s="958"/>
      <x:c r="J204" s="958"/>
      <x:c r="K204" s="958"/>
      <x:c r="L204" s="958"/>
      <x:c r="M204" s="958"/>
      <x:c r="N204" s="1024"/>
      <x:c r="O204" s="959"/>
      <x:c r="P204" s="960"/>
    </x:row>
    <x:row r="205" spans="1:18" ht="16.899999999999999" customHeight="1">
      <x:c r="A205" s="1039" t="s">
        <x:v>139</x:v>
      </x:c>
      <x:c r="B205" s="958"/>
      <x:c r="C205" s="958"/>
      <x:c r="D205" s="958"/>
      <x:c r="E205" s="958"/>
      <x:c r="F205" s="958"/>
      <x:c r="G205" s="958"/>
      <x:c r="H205" s="958"/>
      <x:c r="I205" s="958"/>
      <x:c r="J205" s="958"/>
      <x:c r="K205" s="958"/>
      <x:c r="L205" s="958"/>
      <x:c r="M205" s="958"/>
      <x:c r="N205" s="1024"/>
      <x:c r="O205" s="959"/>
      <x:c r="P205" s="960"/>
    </x:row>
    <x:row r="206" spans="1:18" ht="16.899999999999999" customHeight="1">
      <x:c r="A206" s="1039" t="s">
        <x:v>140</x:v>
      </x:c>
      <x:c r="B206" s="958"/>
      <x:c r="C206" s="958"/>
      <x:c r="D206" s="958"/>
      <x:c r="E206" s="958"/>
      <x:c r="F206" s="958"/>
      <x:c r="G206" s="958"/>
      <x:c r="H206" s="958"/>
      <x:c r="I206" s="958"/>
      <x:c r="J206" s="958"/>
      <x:c r="K206" s="958"/>
      <x:c r="L206" s="958"/>
      <x:c r="M206" s="958"/>
      <x:c r="N206" s="1024"/>
      <x:c r="O206" s="959"/>
      <x:c r="P206" s="960"/>
    </x:row>
    <x:row r="207" spans="1:18" ht="17.45" customHeight="1">
      <x:c r="A207" s="1039" t="s">
        <x:v>141</x:v>
      </x:c>
      <x:c r="B207" s="958"/>
      <x:c r="C207" s="958"/>
      <x:c r="D207" s="958"/>
      <x:c r="E207" s="958"/>
      <x:c r="F207" s="958"/>
      <x:c r="G207" s="958"/>
      <x:c r="H207" s="958"/>
      <x:c r="I207" s="958"/>
      <x:c r="J207" s="958"/>
      <x:c r="K207" s="958"/>
      <x:c r="L207" s="958"/>
      <x:c r="M207" s="958"/>
      <x:c r="N207" s="1024"/>
      <x:c r="O207" s="959"/>
      <x:c r="P207" s="960"/>
    </x:row>
    <x:row r="208" spans="1:18" ht="17.45" customHeight="1">
      <x:c r="A208" s="1039" t="s">
        <x:v>141</x:v>
      </x:c>
      <x:c r="B208" s="958"/>
      <x:c r="C208" s="958"/>
      <x:c r="D208" s="958"/>
      <x:c r="E208" s="958"/>
      <x:c r="F208" s="958"/>
      <x:c r="G208" s="958"/>
      <x:c r="H208" s="958"/>
      <x:c r="I208" s="958"/>
      <x:c r="J208" s="958"/>
      <x:c r="K208" s="958"/>
      <x:c r="L208" s="958"/>
      <x:c r="M208" s="958"/>
      <x:c r="N208" s="1024"/>
      <x:c r="O208" s="959"/>
      <x:c r="P208" s="960"/>
    </x:row>
    <x:row r="209" spans="1:18" ht="16.899999999999999" customHeight="1">
      <x:c r="A209" s="1038" t="s">
        <x:v>142</x:v>
      </x:c>
      <x:c r="B209" s="958"/>
      <x:c r="C209" s="958"/>
      <x:c r="D209" s="958"/>
      <x:c r="E209" s="958"/>
      <x:c r="F209" s="958"/>
      <x:c r="G209" s="958"/>
      <x:c r="H209" s="958"/>
      <x:c r="I209" s="958"/>
      <x:c r="J209" s="958"/>
      <x:c r="K209" s="958"/>
      <x:c r="L209" s="958"/>
      <x:c r="M209" s="958"/>
      <x:c r="N209" s="1024"/>
      <x:c r="O209" s="959"/>
      <x:c r="P209" s="960"/>
    </x:row>
    <x:row r="210" spans="1:18" ht="16.899999999999999" customHeight="1">
      <x:c r="A210" s="1038" t="s">
        <x:v>143</x:v>
      </x:c>
      <x:c r="B210" s="958"/>
      <x:c r="C210" s="958"/>
      <x:c r="D210" s="958"/>
      <x:c r="E210" s="958"/>
      <x:c r="F210" s="958"/>
      <x:c r="G210" s="958"/>
      <x:c r="H210" s="958"/>
      <x:c r="I210" s="958"/>
      <x:c r="J210" s="958"/>
      <x:c r="K210" s="958"/>
      <x:c r="L210" s="958"/>
      <x:c r="M210" s="958"/>
      <x:c r="N210" s="1024"/>
      <x:c r="O210" s="959"/>
      <x:c r="P210" s="960"/>
    </x:row>
    <x:row r="211" spans="1:18" ht="16.899999999999999" customHeight="1">
      <x:c r="A211" s="1040" t="s">
        <x:v>144</x:v>
      </x:c>
      <x:c r="B211" s="961"/>
      <x:c r="C211" s="961"/>
      <x:c r="D211" s="961"/>
      <x:c r="E211" s="961"/>
      <x:c r="F211" s="961"/>
      <x:c r="G211" s="961"/>
      <x:c r="H211" s="961"/>
      <x:c r="I211" s="961"/>
      <x:c r="J211" s="961"/>
      <x:c r="K211" s="961"/>
      <x:c r="L211" s="961"/>
      <x:c r="M211" s="961"/>
      <x:c r="N211" s="1024"/>
      <x:c r="O211" s="959"/>
      <x:c r="P211" s="960"/>
    </x:row>
    <x:row r="212" spans="1:18" ht="16.899999999999999" customHeight="1">
      <x:c r="A212" s="1041"/>
      <x:c r="B212" s="964"/>
      <x:c r="C212" s="964"/>
      <x:c r="D212" s="964"/>
      <x:c r="E212" s="964"/>
      <x:c r="F212" s="964"/>
      <x:c r="G212" s="964"/>
      <x:c r="H212" s="964"/>
      <x:c r="I212" s="964"/>
      <x:c r="J212" s="964"/>
      <x:c r="K212" s="964"/>
      <x:c r="L212" s="964"/>
      <x:c r="M212" s="964"/>
    </x:row>
    <x:row r="213" spans="1:18" s="1021" customFormat="1" ht="16.899999999999999" customHeight="1">
      <x:c r="A213" s="1019" t="s">
        <x:v>145</x:v>
      </x:c>
      <x:c r="B213" s="954"/>
      <x:c r="C213" s="954"/>
      <x:c r="D213" s="954"/>
      <x:c r="E213" s="954"/>
      <x:c r="F213" s="954"/>
      <x:c r="G213" s="954"/>
      <x:c r="H213" s="954"/>
      <x:c r="I213" s="954"/>
      <x:c r="J213" s="954"/>
      <x:c r="K213" s="954"/>
      <x:c r="L213" s="954"/>
      <x:c r="M213" s="954"/>
      <x:c r="N213" s="878"/>
      <x:c r="O213" s="953"/>
      <x:c r="P213" s="878"/>
      <x:c r="Q213" s="878"/>
      <x:c r="R213" s="1020"/>
    </x:row>
    <x:row r="214" spans="1:18" ht="16.899999999999999" customHeight="1">
      <x:c r="A214" s="1037" t="s">
        <x:v>146</x:v>
      </x:c>
      <x:c r="B214" s="1012">
        <x:f>+SUM(B215:B225)</x:f>
        <x:v>1870621.3547638224</x:v>
      </x:c>
      <x:c r="C214" s="1012">
        <x:f t="shared" ref="C214:M214" si="33">+SUM(C215:C225)</x:f>
        <x:v>2334448.1851807195</x:v>
      </x:c>
      <x:c r="D214" s="1012">
        <x:f t="shared" si="33"/>
        <x:v>8362922.7619689088</x:v>
      </x:c>
      <x:c r="E214" s="1012">
        <x:f t="shared" si="33"/>
        <x:v>2771953.9753636261</x:v>
      </x:c>
      <x:c r="F214" s="1012">
        <x:f t="shared" si="33"/>
        <x:v>2536494.5350794457</x:v>
      </x:c>
      <x:c r="G214" s="1012">
        <x:f t="shared" si="33"/>
        <x:v>8934823.3252488151</x:v>
      </x:c>
      <x:c r="H214" s="1012">
        <x:f t="shared" si="33"/>
        <x:v>2365903.7778630261</x:v>
      </x:c>
      <x:c r="I214" s="1012">
        <x:f t="shared" si="33"/>
        <x:v>3522702.9760443275</x:v>
      </x:c>
      <x:c r="J214" s="1012">
        <x:f t="shared" si="33"/>
        <x:v>7381012.8274591025</x:v>
      </x:c>
      <x:c r="K214" s="1012">
        <x:f t="shared" si="33"/>
        <x:v>8607770.1331453566</x:v>
      </x:c>
      <x:c r="L214" s="1012">
        <x:f t="shared" si="33"/>
        <x:v>3311753.6994968308</x:v>
      </x:c>
      <x:c r="M214" s="1012">
        <x:f t="shared" si="33"/>
        <x:v>7298630.6827013548</x:v>
      </x:c>
      <x:c r="O214" s="1013"/>
      <x:c r="P214" s="1014"/>
      <x:c r="R214" s="964">
        <x:f>+SUM(B214:M214)</x:f>
        <x:v>59299038.234315336</x:v>
      </x:c>
    </x:row>
    <x:row r="215" spans="1:18" ht="16.899999999999999" customHeight="1">
      <x:c r="A215" s="1023" t="s">
        <x:v>188</x:v>
      </x:c>
      <x:c r="B215" s="958"/>
      <x:c r="C215" s="958"/>
      <x:c r="D215" s="958"/>
      <x:c r="E215" s="958"/>
      <x:c r="F215" s="958"/>
      <x:c r="G215" s="958"/>
      <x:c r="H215" s="958"/>
      <x:c r="I215" s="958"/>
      <x:c r="J215" s="958"/>
      <x:c r="K215" s="958">
        <x:f>+'12. Loan'!V8</x:f>
        <x:v>3934500</x:v>
      </x:c>
      <x:c r="L215" s="958"/>
      <x:c r="M215" s="958"/>
      <x:c r="O215" s="959" t="s">
        <x:v>1235</x:v>
      </x:c>
      <x:c r="P215" s="960"/>
      <x:c r="R215" s="1025">
        <x:f>+R214-SUM(B215:M225)</x:f>
        <x:v>0</x:v>
      </x:c>
    </x:row>
    <x:row r="216" spans="1:18" ht="16.899999999999999" customHeight="1">
      <x:c r="A216" s="1023" t="s">
        <x:v>147</x:v>
      </x:c>
      <x:c r="B216" s="958"/>
      <x:c r="C216" s="958"/>
      <x:c r="D216" s="958"/>
      <x:c r="E216" s="958"/>
      <x:c r="F216" s="958"/>
      <x:c r="G216" s="958"/>
      <x:c r="H216" s="958"/>
      <x:c r="I216" s="958"/>
      <x:c r="J216" s="958"/>
      <x:c r="K216" s="958"/>
      <x:c r="L216" s="958"/>
      <x:c r="M216" s="958"/>
      <x:c r="O216" s="959"/>
      <x:c r="P216" s="960"/>
    </x:row>
    <x:row r="217" spans="1:18" ht="16.899999999999999" customHeight="1">
      <x:c r="A217" s="1023" t="s">
        <x:v>148</x:v>
      </x:c>
      <x:c r="B217" s="958"/>
      <x:c r="C217" s="958"/>
      <x:c r="D217" s="958"/>
      <x:c r="E217" s="958"/>
      <x:c r="F217" s="958"/>
      <x:c r="G217" s="958"/>
      <x:c r="H217" s="958"/>
      <x:c r="I217" s="958"/>
      <x:c r="J217" s="958"/>
      <x:c r="K217" s="958"/>
      <x:c r="L217" s="958"/>
      <x:c r="M217" s="958"/>
      <x:c r="O217" s="959"/>
      <x:c r="P217" s="960"/>
    </x:row>
    <x:row r="218" spans="1:18" ht="16.899999999999999" customHeight="1">
      <x:c r="A218" s="1023" t="s">
        <x:v>149</x:v>
      </x:c>
      <x:c r="B218" s="958"/>
      <x:c r="C218" s="958"/>
      <x:c r="D218" s="958"/>
      <x:c r="E218" s="958"/>
      <x:c r="F218" s="958"/>
      <x:c r="G218" s="958"/>
      <x:c r="H218" s="958"/>
      <x:c r="I218" s="958"/>
      <x:c r="J218" s="958"/>
      <x:c r="K218" s="958"/>
      <x:c r="L218" s="958"/>
      <x:c r="M218" s="958"/>
      <x:c r="O218" s="959"/>
      <x:c r="P218" s="960"/>
    </x:row>
    <x:row r="219" spans="1:18" ht="16.899999999999999" customHeight="1">
      <x:c r="A219" s="1023" t="s">
        <x:v>150</x:v>
      </x:c>
      <x:c r="B219" s="958"/>
      <x:c r="C219" s="958"/>
      <x:c r="D219" s="958"/>
      <x:c r="E219" s="958"/>
      <x:c r="F219" s="958"/>
      <x:c r="G219" s="958"/>
      <x:c r="H219" s="958"/>
      <x:c r="I219" s="958"/>
      <x:c r="J219" s="958"/>
      <x:c r="K219" s="958"/>
      <x:c r="L219" s="958"/>
      <x:c r="M219" s="958"/>
      <x:c r="O219" s="959"/>
      <x:c r="P219" s="960"/>
    </x:row>
    <x:row r="220" spans="1:18" ht="16.899999999999999" customHeight="1">
      <x:c r="A220" s="1042" t="s">
        <x:v>151</x:v>
      </x:c>
      <x:c r="B220" s="958">
        <x:f>Summary!F5*2%</x:f>
        <x:v>1870621.3547638224</x:v>
      </x:c>
      <x:c r="C220" s="958">
        <x:f>Summary!G5*2%</x:f>
        <x:v>2334448.1851807195</x:v>
      </x:c>
      <x:c r="D220" s="958">
        <x:f>Summary!H5*2%</x:f>
        <x:v>3322922.7619689102</x:v>
      </x:c>
      <x:c r="E220" s="958">
        <x:f>Summary!I5*2%</x:f>
        <x:v>2771953.9753636261</x:v>
      </x:c>
      <x:c r="F220" s="958">
        <x:f>Summary!J5*2%</x:f>
        <x:v>2536494.5350794457</x:v>
      </x:c>
      <x:c r="G220" s="958">
        <x:f>Summary!K5*2%</x:f>
        <x:v>3864823.3252488216</x:v>
      </x:c>
      <x:c r="H220" s="958">
        <x:f>Summary!L5*2%</x:f>
        <x:v>2365903.7778630261</x:v>
      </x:c>
      <x:c r="I220" s="958">
        <x:f>Summary!M5*2%</x:f>
        <x:v>3522702.9760443275</x:v>
      </x:c>
      <x:c r="J220" s="958">
        <x:f>Summary!N5*2%</x:f>
        <x:v>3181012.8274591067</x:v>
      </x:c>
      <x:c r="K220" s="958">
        <x:f>Summary!O5*2%</x:f>
        <x:v>4673270.1331453566</x:v>
      </x:c>
      <x:c r="L220" s="958">
        <x:f>Summary!P5*2%</x:f>
        <x:v>3311753.6994968308</x:v>
      </x:c>
      <x:c r="M220" s="958">
        <x:f>Summary!Q5*2%</x:f>
        <x:v>3368630.6827013474</x:v>
      </x:c>
      <x:c r="O220" s="959" t="s">
        <x:v>1236</x:v>
      </x:c>
      <x:c r="P220" s="960"/>
    </x:row>
    <x:row r="221" spans="1:18" ht="16.899999999999999" customHeight="1">
      <x:c r="A221" s="1042" t="s">
        <x:v>152</x:v>
      </x:c>
      <x:c r="B221" s="958"/>
      <x:c r="C221" s="958"/>
      <x:c r="D221" s="958">
        <x:f>+'16. non operational'!G31+'16. non operational'!G32</x:f>
        <x:v>5039999.9999999991</x:v>
      </x:c>
      <x:c r="E221" s="958"/>
      <x:c r="F221" s="958"/>
      <x:c r="G221" s="958">
        <x:f>+'16. non operational'!H31+'16. non operational'!H32</x:f>
        <x:v>5069999.9999999935</x:v>
      </x:c>
      <x:c r="H221" s="958"/>
      <x:c r="I221" s="958"/>
      <x:c r="J221" s="958">
        <x:f>+'16. non operational'!I31+'16. non operational'!I32</x:f>
        <x:v>4199999.9999999953</x:v>
      </x:c>
      <x:c r="K221" s="958"/>
      <x:c r="L221" s="958"/>
      <x:c r="M221" s="958">
        <x:f>+'16. non operational'!J31+'16. non operational'!J32</x:f>
        <x:v>3930000.000000007</x:v>
      </x:c>
      <x:c r="O221" s="967" t="s">
        <x:v>1237</x:v>
      </x:c>
      <x:c r="P221" s="960"/>
    </x:row>
    <x:row r="222" spans="1:18" ht="16.899999999999999" customHeight="1">
      <x:c r="A222" s="1023" t="s">
        <x:v>153</x:v>
      </x:c>
      <x:c r="B222" s="958"/>
      <x:c r="C222" s="958"/>
      <x:c r="D222" s="958"/>
      <x:c r="E222" s="958"/>
      <x:c r="F222" s="958"/>
      <x:c r="G222" s="958"/>
      <x:c r="H222" s="958"/>
      <x:c r="I222" s="958"/>
      <x:c r="J222" s="958"/>
      <x:c r="K222" s="958"/>
      <x:c r="L222" s="958"/>
      <x:c r="M222" s="958"/>
      <x:c r="O222" s="959"/>
      <x:c r="P222" s="960"/>
    </x:row>
    <x:row r="223" spans="1:18" ht="16.899999999999999" customHeight="1">
      <x:c r="A223" s="1038" t="s">
        <x:v>154</x:v>
      </x:c>
      <x:c r="B223" s="958"/>
      <x:c r="C223" s="958"/>
      <x:c r="D223" s="958"/>
      <x:c r="E223" s="958"/>
      <x:c r="F223" s="958"/>
      <x:c r="G223" s="958"/>
      <x:c r="H223" s="958"/>
      <x:c r="I223" s="958"/>
      <x:c r="J223" s="958"/>
      <x:c r="K223" s="958"/>
      <x:c r="L223" s="958"/>
      <x:c r="M223" s="958"/>
      <x:c r="O223" s="959"/>
      <x:c r="P223" s="960"/>
    </x:row>
    <x:row r="224" spans="1:18" ht="16.899999999999999" customHeight="1">
      <x:c r="A224" s="1042" t="s">
        <x:v>155</x:v>
      </x:c>
      <x:c r="B224" s="958"/>
      <x:c r="C224" s="958"/>
      <x:c r="D224" s="958"/>
      <x:c r="E224" s="958"/>
      <x:c r="F224" s="958"/>
      <x:c r="G224" s="958"/>
      <x:c r="H224" s="958"/>
      <x:c r="I224" s="958"/>
      <x:c r="J224" s="958"/>
      <x:c r="K224" s="958"/>
      <x:c r="L224" s="958"/>
      <x:c r="M224" s="958"/>
      <x:c r="O224" s="959"/>
      <x:c r="P224" s="1017"/>
    </x:row>
    <x:row r="225" spans="1:13" ht="16.899999999999999" customHeight="1">
      <x:c r="A225" s="1043" t="s">
        <x:v>156</x:v>
      </x:c>
      <x:c r="B225" s="961"/>
      <x:c r="C225" s="961"/>
      <x:c r="D225" s="961"/>
      <x:c r="E225" s="961"/>
      <x:c r="F225" s="961"/>
      <x:c r="G225" s="961"/>
      <x:c r="H225" s="961"/>
      <x:c r="I225" s="961"/>
      <x:c r="J225" s="961"/>
      <x:c r="K225" s="961"/>
      <x:c r="L225" s="961"/>
      <x:c r="M225" s="961"/>
    </x:row>
  </x:sheetData>
  <x:phoneticPr fontId="3" type="noConversion"/>
  <x:pageMargins left="0.7" right="0.7" top="0.75" bottom="0.75" header="0.3" footer="0.3"/>
  <x:pageSetup paperSize="9" orientation="portrait" horizontalDpi="360" verticalDpi="360" r:id="rId1"/>
  <x:legacyDrawing r:id="rId2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A4E79DA-6375-42AB-B47F-88B2101AC418}" mc:Ignorable="x14ac xr xr2 xr3">
  <x:sheetPr codeName="Sheet4"/>
  <x:dimension ref="A1:AA559"/>
  <x:sheetViews>
    <x:sheetView zoomScale="70" zoomScaleNormal="70" workbookViewId="0">
      <x:pane xSplit="9" ySplit="4" topLeftCell="Q105" activePane="bottomRight" state="frozen"/>
      <x:selection pane="topRight" activeCell="J1" sqref="J1"/>
      <x:selection pane="bottomLeft" activeCell="A5" sqref="A5"/>
      <x:selection pane="bottomRight" activeCell="AD119" sqref="AD119"/>
    </x:sheetView>
  </x:sheetViews>
  <x:sheetFormatPr defaultColWidth="7.75" defaultRowHeight="16.5" outlineLevelCol="1"/>
  <x:cols>
    <x:col min="1" max="1" width="7.75" style="91"/>
    <x:col min="2" max="2" width="19.375" style="91" customWidth="1"/>
    <x:col min="3" max="5" width="4.25" style="91" customWidth="1"/>
    <x:col min="6" max="6" width="50.125" style="92" customWidth="1"/>
    <x:col min="7" max="7" width="17.75" style="91" customWidth="1"/>
    <x:col min="8" max="8" width="7.75" style="91"/>
    <x:col min="9" max="9" width="12.125" style="91" customWidth="1"/>
    <x:col min="10" max="10" width="15" style="91" customWidth="1"/>
    <x:col min="11" max="21" width="15" style="91" customWidth="1" outlineLevel="1"/>
    <x:col min="22" max="22" width="20.375" style="91" customWidth="1" outlineLevel="1"/>
    <x:col min="23" max="23" width="27.75" style="92" customWidth="1"/>
    <x:col min="24" max="24" width="16.75" style="91" customWidth="1"/>
    <x:col min="25" max="25" width="16.375" style="91" customWidth="1"/>
    <x:col min="26" max="26" width="7.75" style="91"/>
    <x:col min="27" max="27" width="9.25" style="91" bestFit="1" customWidth="1"/>
    <x:col min="28" max="28" width="11.75" style="91" bestFit="1" customWidth="1"/>
    <x:col min="29" max="40" width="7.75" style="91"/>
    <x:col min="41" max="42" width="10.75" style="91" bestFit="1" customWidth="1"/>
    <x:col min="43" max="16384" width="7.75" style="91"/>
  </x:cols>
  <x:sheetData>
    <x:row r="1" spans="1:27" s="42" customFormat="1" ht="41.25">
      <x:c r="A1" s="1079" t="s">
        <x:v>305</x:v>
      </x:c>
      <x:c r="F1" s="43"/>
      <x:c r="G1" s="1189" t="s">
        <x:v>1522</x:v>
      </x:c>
      <x:c r="H1" s="1190">
        <x:v>0.98</x:v>
      </x:c>
      <x:c r="J1" s="1187" t="s">
        <x:v>1534</x:v>
      </x:c>
      <x:c r="K1" s="1188">
        <x:f>'Exchange Rate'!$D$6/'Exchange Rate'!$D$4</x:f>
        <x:v>1.1851851851851851</x:v>
      </x:c>
      <x:c r="L1" s="1202"/>
      <x:c r="W1" s="1044"/>
    </x:row>
    <x:row r="2" spans="1:27" s="42" customFormat="1" ht="18" thickBot="1">
      <x:c r="A2" s="44" t="s">
        <x:v>306</x:v>
      </x:c>
      <x:c r="B2" s="45"/>
      <x:c r="C2" s="45"/>
      <x:c r="D2" s="45"/>
      <x:c r="E2" s="45"/>
      <x:c r="F2" s="46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1045" t="s">
        <x:v>307</x:v>
      </x:c>
    </x:row>
    <x:row r="3" spans="1:27" s="48" customFormat="1" ht="14.25" thickTop="1">
      <x:c r="A3" s="1250" t="s">
        <x:v>308</x:v>
      </x:c>
      <x:c r="B3" s="1252" t="s">
        <x:v>309</x:v>
      </x:c>
      <x:c r="C3" s="1254" t="s">
        <x:v>310</x:v>
      </x:c>
      <x:c r="D3" s="1255"/>
      <x:c r="E3" s="1256"/>
      <x:c r="F3" s="1257" t="s">
        <x:v>311</x:v>
      </x:c>
      <x:c r="G3" s="1259" t="s">
        <x:v>312</x:v>
      </x:c>
      <x:c r="H3" s="1243" t="s">
        <x:v>313</x:v>
      </x:c>
      <x:c r="I3" s="1243" t="s">
        <x:v>314</x:v>
      </x:c>
      <x:c r="J3" s="1245" t="s">
        <x:v>315</x:v>
      </x:c>
      <x:c r="K3" s="1246"/>
      <x:c r="L3" s="1246"/>
      <x:c r="M3" s="1246"/>
      <x:c r="N3" s="1246"/>
      <x:c r="O3" s="1246"/>
      <x:c r="P3" s="1246"/>
      <x:c r="Q3" s="1246"/>
      <x:c r="R3" s="1246"/>
      <x:c r="S3" s="1246"/>
      <x:c r="T3" s="1246"/>
      <x:c r="U3" s="1246"/>
      <x:c r="V3" s="1247"/>
      <x:c r="W3" s="1248" t="s">
        <x:v>316</x:v>
      </x:c>
      <x:c r="X3" s="841" t="s">
        <x:v>1272</x:v>
      </x:c>
      <x:c r="Y3" s="841" t="s">
        <x:v>1273</x:v>
      </x:c>
    </x:row>
    <x:row r="4" spans="1:27" s="48" customFormat="1" ht="14.25" thickBot="1">
      <x:c r="A4" s="1251"/>
      <x:c r="B4" s="1253"/>
      <x:c r="C4" s="233">
        <x:v>1</x:v>
      </x:c>
      <x:c r="D4" s="233">
        <x:v>2</x:v>
      </x:c>
      <x:c r="E4" s="233">
        <x:v>3</x:v>
      </x:c>
      <x:c r="F4" s="1258"/>
      <x:c r="G4" s="1260"/>
      <x:c r="H4" s="1261"/>
      <x:c r="I4" s="1244"/>
      <x:c r="J4" s="49" t="s">
        <x:v>317</x:v>
      </x:c>
      <x:c r="K4" s="234" t="s">
        <x:v>318</x:v>
      </x:c>
      <x:c r="L4" s="234" t="s">
        <x:v>319</x:v>
      </x:c>
      <x:c r="M4" s="234" t="s">
        <x:v>320</x:v>
      </x:c>
      <x:c r="N4" s="234" t="s">
        <x:v>321</x:v>
      </x:c>
      <x:c r="O4" s="234" t="s">
        <x:v>322</x:v>
      </x:c>
      <x:c r="P4" s="234" t="s">
        <x:v>323</x:v>
      </x:c>
      <x:c r="Q4" s="234" t="s">
        <x:v>324</x:v>
      </x:c>
      <x:c r="R4" s="234" t="s">
        <x:v>325</x:v>
      </x:c>
      <x:c r="S4" s="234" t="s">
        <x:v>326</x:v>
      </x:c>
      <x:c r="T4" s="234" t="s">
        <x:v>327</x:v>
      </x:c>
      <x:c r="U4" s="234" t="s">
        <x:v>328</x:v>
      </x:c>
      <x:c r="V4" s="50" t="s">
        <x:v>329</x:v>
      </x:c>
      <x:c r="W4" s="1249"/>
      <x:c r="X4" s="841" t="s">
        <x:v>1271</x:v>
      </x:c>
      <x:c r="Y4" s="841"/>
    </x:row>
    <x:row r="5" spans="1:27" s="48" customFormat="1" ht="14.25" thickTop="1">
      <x:c r="A5" s="51" t="s">
        <x:v>330</x:v>
      </x:c>
      <x:c r="B5" s="52" t="s">
        <x:v>1181</x:v>
      </x:c>
      <x:c r="C5" s="53" t="s">
        <x:v>332</x:v>
      </x:c>
      <x:c r="D5" s="53"/>
      <x:c r="E5" s="53"/>
      <x:c r="F5" s="53" t="s">
        <x:v>333</x:v>
      </x:c>
      <x:c r="G5" s="54" t="s">
        <x:v>334</x:v>
      </x:c>
      <x:c r="H5" s="53">
        <x:v>1</x:v>
      </x:c>
      <x:c r="I5" s="53" t="s">
        <x:v>1088</x:v>
      </x:c>
      <x:c r="J5" s="55">
        <x:v>3040</x:v>
      </x:c>
      <x:c r="K5" s="56">
        <x:v>3300</x:v>
      </x:c>
      <x:c r="L5" s="56">
        <x:v>3940</x:v>
      </x:c>
      <x:c r="M5" s="56">
        <x:v>2880</x:v>
      </x:c>
      <x:c r="N5" s="56">
        <x:v>2380</x:v>
      </x:c>
      <x:c r="O5" s="56">
        <x:v>4960</x:v>
      </x:c>
      <x:c r="P5" s="56">
        <x:v>2740</x:v>
      </x:c>
      <x:c r="Q5" s="56">
        <x:v>4460</x:v>
      </x:c>
      <x:c r="R5" s="56">
        <x:v>4360</x:v>
      </x:c>
      <x:c r="S5" s="56">
        <x:v>3392</x:v>
      </x:c>
      <x:c r="T5" s="56">
        <x:v>3716</x:v>
      </x:c>
      <x:c r="U5" s="56">
        <x:v>3938</x:v>
      </x:c>
      <x:c r="V5" s="57">
        <x:f>SUM(J5:U5)</x:f>
        <x:v>43106</x:v>
      </x:c>
      <x:c r="W5" s="1046" t="s">
        <x:v>335</x:v>
      </x:c>
      <x:c r="X5" s="838">
        <x:v>43106</x:v>
      </x:c>
      <x:c r="Y5" s="839">
        <x:f t="shared" ref="Y5:Y53" si="0">V5-X5</x:f>
        <x:v>0</x:v>
      </x:c>
      <x:c r="Z5" s="48">
        <x:v>43106</x:v>
      </x:c>
      <x:c r="AA5" s="837">
        <x:f>+Z5*H5</x:f>
        <x:v>43106</x:v>
      </x:c>
    </x:row>
    <x:row r="6" spans="1:27" s="48" customFormat="1" ht="13.5">
      <x:c r="A6" s="58" t="s">
        <x:v>336</x:v>
      </x:c>
      <x:c r="B6" s="70" t="s">
        <x:v>1182</x:v>
      </x:c>
      <x:c r="C6" s="235" t="s">
        <x:v>332</x:v>
      </x:c>
      <x:c r="D6" s="235"/>
      <x:c r="E6" s="235"/>
      <x:c r="F6" s="235" t="s">
        <x:v>337</x:v>
      </x:c>
      <x:c r="G6" s="236" t="s">
        <x:v>338</x:v>
      </x:c>
      <x:c r="H6" s="235">
        <x:v>1</x:v>
      </x:c>
      <x:c r="I6" s="235" t="s">
        <x:v>1089</x:v>
      </x:c>
      <x:c r="J6" s="237">
        <x:v>3040</x:v>
      </x:c>
      <x:c r="K6" s="238">
        <x:v>3300</x:v>
      </x:c>
      <x:c r="L6" s="238">
        <x:v>3940</x:v>
      </x:c>
      <x:c r="M6" s="238">
        <x:v>2880</x:v>
      </x:c>
      <x:c r="N6" s="238">
        <x:v>2380</x:v>
      </x:c>
      <x:c r="O6" s="238">
        <x:v>4960</x:v>
      </x:c>
      <x:c r="P6" s="238">
        <x:v>2740</x:v>
      </x:c>
      <x:c r="Q6" s="238">
        <x:v>4460</x:v>
      </x:c>
      <x:c r="R6" s="238">
        <x:v>4360</x:v>
      </x:c>
      <x:c r="S6" s="238">
        <x:v>3392</x:v>
      </x:c>
      <x:c r="T6" s="238">
        <x:v>3716</x:v>
      </x:c>
      <x:c r="U6" s="238">
        <x:v>3938</x:v>
      </x:c>
      <x:c r="V6" s="60">
        <x:f t="shared" ref="V6:V75" si="1">SUM(J6:U6)</x:f>
        <x:v>43106</x:v>
      </x:c>
      <x:c r="W6" s="1046" t="s">
        <x:v>339</x:v>
      </x:c>
      <x:c r="X6" s="838">
        <x:v>43106</x:v>
      </x:c>
      <x:c r="Y6" s="839">
        <x:f t="shared" si="0"/>
        <x:v>0</x:v>
      </x:c>
      <x:c r="Z6" s="48">
        <x:v>43106</x:v>
      </x:c>
      <x:c r="AA6" s="837">
        <x:f t="shared" ref="AA6:AA74" si="2">+Z6*H6</x:f>
        <x:v>43106</x:v>
      </x:c>
    </x:row>
    <x:row r="7" spans="1:27" s="48" customFormat="1" ht="13.5">
      <x:c r="A7" s="58"/>
      <x:c r="B7" s="59"/>
      <x:c r="C7" s="61" t="s">
        <x:v>332</x:v>
      </x:c>
      <x:c r="D7" s="61"/>
      <x:c r="E7" s="61"/>
      <x:c r="F7" s="61" t="s">
        <x:v>340</x:v>
      </x:c>
      <x:c r="G7" s="62" t="s">
        <x:v>341</x:v>
      </x:c>
      <x:c r="H7" s="61">
        <x:v>3</x:v>
      </x:c>
      <x:c r="I7" s="61" t="s">
        <x:v>1089</x:v>
      </x:c>
      <x:c r="J7" s="239">
        <x:v>9120</x:v>
      </x:c>
      <x:c r="K7" s="63">
        <x:v>9900</x:v>
      </x:c>
      <x:c r="L7" s="63">
        <x:v>11820</x:v>
      </x:c>
      <x:c r="M7" s="63">
        <x:v>8640</x:v>
      </x:c>
      <x:c r="N7" s="63">
        <x:v>7140</x:v>
      </x:c>
      <x:c r="O7" s="63">
        <x:v>14880</x:v>
      </x:c>
      <x:c r="P7" s="63">
        <x:v>8220</x:v>
      </x:c>
      <x:c r="Q7" s="63">
        <x:v>13380</x:v>
      </x:c>
      <x:c r="R7" s="63">
        <x:v>13080</x:v>
      </x:c>
      <x:c r="S7" s="63">
        <x:v>10176</x:v>
      </x:c>
      <x:c r="T7" s="63">
        <x:v>11148</x:v>
      </x:c>
      <x:c r="U7" s="63">
        <x:v>11814</x:v>
      </x:c>
      <x:c r="V7" s="64">
        <x:f t="shared" si="1"/>
        <x:v>129318</x:v>
      </x:c>
      <x:c r="W7" s="1046" t="s">
        <x:v>339</x:v>
      </x:c>
      <x:c r="X7" s="838">
        <x:v>129318</x:v>
      </x:c>
      <x:c r="Y7" s="839">
        <x:f t="shared" si="0"/>
        <x:v>0</x:v>
      </x:c>
      <x:c r="Z7" s="48">
        <x:v>43106</x:v>
      </x:c>
      <x:c r="AA7" s="837">
        <x:f t="shared" si="2"/>
        <x:v>129318</x:v>
      </x:c>
    </x:row>
    <x:row r="8" spans="1:27" s="48" customFormat="1" ht="13.5">
      <x:c r="A8" s="58"/>
      <x:c r="B8" s="59"/>
      <x:c r="C8" s="240" t="s">
        <x:v>332</x:v>
      </x:c>
      <x:c r="D8" s="240"/>
      <x:c r="E8" s="240"/>
      <x:c r="F8" s="240" t="s">
        <x:v>342</x:v>
      </x:c>
      <x:c r="G8" s="241" t="s">
        <x:v>343</x:v>
      </x:c>
      <x:c r="H8" s="240">
        <x:v>3</x:v>
      </x:c>
      <x:c r="I8" s="240" t="s">
        <x:v>1089</x:v>
      </x:c>
      <x:c r="J8" s="242">
        <x:v>9120</x:v>
      </x:c>
      <x:c r="K8" s="243">
        <x:v>9900</x:v>
      </x:c>
      <x:c r="L8" s="243">
        <x:v>11820</x:v>
      </x:c>
      <x:c r="M8" s="243">
        <x:v>8640</x:v>
      </x:c>
      <x:c r="N8" s="243">
        <x:v>7140</x:v>
      </x:c>
      <x:c r="O8" s="243">
        <x:v>14880</x:v>
      </x:c>
      <x:c r="P8" s="243">
        <x:v>8220</x:v>
      </x:c>
      <x:c r="Q8" s="243">
        <x:v>13380</x:v>
      </x:c>
      <x:c r="R8" s="243">
        <x:v>13080</x:v>
      </x:c>
      <x:c r="S8" s="243">
        <x:v>10176</x:v>
      </x:c>
      <x:c r="T8" s="243">
        <x:v>11148</x:v>
      </x:c>
      <x:c r="U8" s="243">
        <x:v>11814</x:v>
      </x:c>
      <x:c r="V8" s="64">
        <x:f t="shared" si="1"/>
        <x:v>129318</x:v>
      </x:c>
      <x:c r="W8" s="1046" t="s">
        <x:v>339</x:v>
      </x:c>
      <x:c r="X8" s="838">
        <x:v>129318</x:v>
      </x:c>
      <x:c r="Y8" s="839">
        <x:f t="shared" si="0"/>
        <x:v>0</x:v>
      </x:c>
      <x:c r="Z8" s="48">
        <x:v>43106</x:v>
      </x:c>
      <x:c r="AA8" s="837">
        <x:f t="shared" si="2"/>
        <x:v>129318</x:v>
      </x:c>
    </x:row>
    <x:row r="9" spans="1:27" s="48" customFormat="1" ht="14.25" thickBot="1">
      <x:c r="A9" s="58"/>
      <x:c r="B9" s="339"/>
      <x:c r="C9" s="340" t="s">
        <x:v>332</x:v>
      </x:c>
      <x:c r="D9" s="340"/>
      <x:c r="E9" s="340"/>
      <x:c r="F9" s="340" t="s">
        <x:v>344</x:v>
      </x:c>
      <x:c r="G9" s="341" t="s">
        <x:v>345</x:v>
      </x:c>
      <x:c r="H9" s="340">
        <x:v>1</x:v>
      </x:c>
      <x:c r="I9" s="340" t="s">
        <x:v>1089</x:v>
      </x:c>
      <x:c r="J9" s="342">
        <x:v>3040</x:v>
      </x:c>
      <x:c r="K9" s="343">
        <x:v>3300</x:v>
      </x:c>
      <x:c r="L9" s="343">
        <x:v>3940</x:v>
      </x:c>
      <x:c r="M9" s="343">
        <x:v>2880</x:v>
      </x:c>
      <x:c r="N9" s="343">
        <x:v>2380</x:v>
      </x:c>
      <x:c r="O9" s="343">
        <x:v>4960</x:v>
      </x:c>
      <x:c r="P9" s="343">
        <x:v>2740</x:v>
      </x:c>
      <x:c r="Q9" s="343">
        <x:v>4460</x:v>
      </x:c>
      <x:c r="R9" s="343">
        <x:v>4360</x:v>
      </x:c>
      <x:c r="S9" s="343">
        <x:v>3392</x:v>
      </x:c>
      <x:c r="T9" s="343">
        <x:v>3716</x:v>
      </x:c>
      <x:c r="U9" s="343">
        <x:v>3938</x:v>
      </x:c>
      <x:c r="V9" s="344">
        <x:f t="shared" si="1"/>
        <x:v>43106</x:v>
      </x:c>
      <x:c r="W9" s="1047" t="s">
        <x:v>339</x:v>
      </x:c>
      <x:c r="X9" s="838">
        <x:v>43106</x:v>
      </x:c>
      <x:c r="Y9" s="839">
        <x:f t="shared" si="0"/>
        <x:v>0</x:v>
      </x:c>
      <x:c r="Z9" s="48">
        <x:v>43106</x:v>
      </x:c>
      <x:c r="AA9" s="837">
        <x:f t="shared" si="2"/>
        <x:v>43106</x:v>
      </x:c>
    </x:row>
    <x:row r="10" spans="1:27" s="48" customFormat="1" ht="13.5">
      <x:c r="A10" s="58"/>
      <x:c r="B10" s="345" t="s">
        <x:v>1181</x:v>
      </x:c>
      <x:c r="C10" s="346" t="s">
        <x:v>332</x:v>
      </x:c>
      <x:c r="D10" s="346"/>
      <x:c r="E10" s="346"/>
      <x:c r="F10" s="346" t="s">
        <x:v>333</x:v>
      </x:c>
      <x:c r="G10" s="347" t="s">
        <x:v>334</x:v>
      </x:c>
      <x:c r="H10" s="346">
        <x:v>1</x:v>
      </x:c>
      <x:c r="I10" s="346" t="s">
        <x:v>1088</x:v>
      </x:c>
      <x:c r="J10" s="348">
        <x:v>1520</x:v>
      </x:c>
      <x:c r="K10" s="349">
        <x:v>1360</x:v>
      </x:c>
      <x:c r="L10" s="349">
        <x:v>1680</x:v>
      </x:c>
      <x:c r="M10" s="349">
        <x:v>1680</x:v>
      </x:c>
      <x:c r="N10" s="349">
        <x:v>1840</x:v>
      </x:c>
      <x:c r="O10" s="349">
        <x:v>2480</x:v>
      </x:c>
      <x:c r="P10" s="349">
        <x:v>1760</x:v>
      </x:c>
      <x:c r="Q10" s="349">
        <x:v>1800</x:v>
      </x:c>
      <x:c r="R10" s="349">
        <x:v>1874</x:v>
      </x:c>
      <x:c r="S10" s="349">
        <x:v>1906</x:v>
      </x:c>
      <x:c r="T10" s="349">
        <x:v>1944</x:v>
      </x:c>
      <x:c r="U10" s="349">
        <x:v>1961</x:v>
      </x:c>
      <x:c r="V10" s="350">
        <x:f t="shared" si="1"/>
        <x:v>21805</x:v>
      </x:c>
      <x:c r="W10" s="1048" t="s">
        <x:v>347</x:v>
      </x:c>
      <x:c r="X10" s="838">
        <x:v>21805</x:v>
      </x:c>
      <x:c r="Y10" s="839">
        <x:f t="shared" si="0"/>
        <x:v>0</x:v>
      </x:c>
      <x:c r="Z10" s="48">
        <x:v>21805</x:v>
      </x:c>
      <x:c r="AA10" s="837">
        <x:f t="shared" si="2"/>
        <x:v>21805</x:v>
      </x:c>
    </x:row>
    <x:row r="11" spans="1:27" s="48" customFormat="1" ht="13.5">
      <x:c r="A11" s="58"/>
      <x:c r="B11" s="70" t="s">
        <x:v>1183</x:v>
      </x:c>
      <x:c r="C11" s="327" t="s">
        <x:v>332</x:v>
      </x:c>
      <x:c r="D11" s="327"/>
      <x:c r="E11" s="327"/>
      <x:c r="F11" s="327" t="s">
        <x:v>337</x:v>
      </x:c>
      <x:c r="G11" s="328" t="s">
        <x:v>338</x:v>
      </x:c>
      <x:c r="H11" s="327">
        <x:v>1</x:v>
      </x:c>
      <x:c r="I11" s="327" t="s">
        <x:v>1089</x:v>
      </x:c>
      <x:c r="J11" s="254">
        <x:v>1520</x:v>
      </x:c>
      <x:c r="K11" s="255">
        <x:v>1360</x:v>
      </x:c>
      <x:c r="L11" s="255">
        <x:v>1680</x:v>
      </x:c>
      <x:c r="M11" s="255">
        <x:v>1680</x:v>
      </x:c>
      <x:c r="N11" s="255">
        <x:v>1840</x:v>
      </x:c>
      <x:c r="O11" s="255">
        <x:v>2480</x:v>
      </x:c>
      <x:c r="P11" s="255">
        <x:v>1760</x:v>
      </x:c>
      <x:c r="Q11" s="255">
        <x:v>1800</x:v>
      </x:c>
      <x:c r="R11" s="255">
        <x:v>1874</x:v>
      </x:c>
      <x:c r="S11" s="255">
        <x:v>1906</x:v>
      </x:c>
      <x:c r="T11" s="255">
        <x:v>1944</x:v>
      </x:c>
      <x:c r="U11" s="255">
        <x:v>1961</x:v>
      </x:c>
      <x:c r="V11" s="329">
        <x:f t="shared" si="1"/>
        <x:v>21805</x:v>
      </x:c>
      <x:c r="W11" s="1049" t="s">
        <x:v>339</x:v>
      </x:c>
      <x:c r="X11" s="838">
        <x:v>21805</x:v>
      </x:c>
      <x:c r="Y11" s="839">
        <x:f t="shared" si="0"/>
        <x:v>0</x:v>
      </x:c>
      <x:c r="Z11" s="48">
        <x:v>21805</x:v>
      </x:c>
      <x:c r="AA11" s="837">
        <x:f t="shared" si="2"/>
        <x:v>21805</x:v>
      </x:c>
    </x:row>
    <x:row r="12" spans="1:27" s="48" customFormat="1" ht="13.5">
      <x:c r="A12" s="58"/>
      <x:c r="B12" s="70"/>
      <x:c r="C12" s="330" t="s">
        <x:v>332</x:v>
      </x:c>
      <x:c r="D12" s="330"/>
      <x:c r="E12" s="330"/>
      <x:c r="F12" s="330" t="s">
        <x:v>340</x:v>
      </x:c>
      <x:c r="G12" s="331" t="s">
        <x:v>341</x:v>
      </x:c>
      <x:c r="H12" s="330">
        <x:v>3</x:v>
      </x:c>
      <x:c r="I12" s="330" t="s">
        <x:v>1089</x:v>
      </x:c>
      <x:c r="J12" s="332">
        <x:v>4560</x:v>
      </x:c>
      <x:c r="K12" s="333">
        <x:v>4080</x:v>
      </x:c>
      <x:c r="L12" s="333">
        <x:v>5040</x:v>
      </x:c>
      <x:c r="M12" s="333">
        <x:v>5040</x:v>
      </x:c>
      <x:c r="N12" s="333">
        <x:v>5520</x:v>
      </x:c>
      <x:c r="O12" s="333">
        <x:v>7440</x:v>
      </x:c>
      <x:c r="P12" s="333">
        <x:v>5280</x:v>
      </x:c>
      <x:c r="Q12" s="333">
        <x:v>5400</x:v>
      </x:c>
      <x:c r="R12" s="333">
        <x:v>5622</x:v>
      </x:c>
      <x:c r="S12" s="333">
        <x:v>5718</x:v>
      </x:c>
      <x:c r="T12" s="333">
        <x:v>5832</x:v>
      </x:c>
      <x:c r="U12" s="333">
        <x:v>5883</x:v>
      </x:c>
      <x:c r="V12" s="334">
        <x:f t="shared" si="1"/>
        <x:v>65415</x:v>
      </x:c>
      <x:c r="W12" s="1049" t="s">
        <x:v>339</x:v>
      </x:c>
      <x:c r="X12" s="838">
        <x:v>65415</x:v>
      </x:c>
      <x:c r="Y12" s="839">
        <x:f t="shared" si="0"/>
        <x:v>0</x:v>
      </x:c>
      <x:c r="Z12" s="48">
        <x:v>21805</x:v>
      </x:c>
      <x:c r="AA12" s="837">
        <x:f t="shared" si="2"/>
        <x:v>65415</x:v>
      </x:c>
    </x:row>
    <x:row r="13" spans="1:27" s="48" customFormat="1" ht="13.5">
      <x:c r="A13" s="58"/>
      <x:c r="B13" s="59"/>
      <x:c r="C13" s="335" t="s">
        <x:v>332</x:v>
      </x:c>
      <x:c r="D13" s="335"/>
      <x:c r="E13" s="335"/>
      <x:c r="F13" s="335" t="s">
        <x:v>342</x:v>
      </x:c>
      <x:c r="G13" s="336" t="s">
        <x:v>343</x:v>
      </x:c>
      <x:c r="H13" s="335">
        <x:v>3</x:v>
      </x:c>
      <x:c r="I13" s="335" t="s">
        <x:v>1089</x:v>
      </x:c>
      <x:c r="J13" s="337">
        <x:v>4560</x:v>
      </x:c>
      <x:c r="K13" s="338">
        <x:v>4080</x:v>
      </x:c>
      <x:c r="L13" s="338">
        <x:v>5040</x:v>
      </x:c>
      <x:c r="M13" s="338">
        <x:v>5040</x:v>
      </x:c>
      <x:c r="N13" s="338">
        <x:v>5520</x:v>
      </x:c>
      <x:c r="O13" s="338">
        <x:v>7440</x:v>
      </x:c>
      <x:c r="P13" s="338">
        <x:v>5280</x:v>
      </x:c>
      <x:c r="Q13" s="338">
        <x:v>5400</x:v>
      </x:c>
      <x:c r="R13" s="338">
        <x:v>5622</x:v>
      </x:c>
      <x:c r="S13" s="338">
        <x:v>5718</x:v>
      </x:c>
      <x:c r="T13" s="338">
        <x:v>5832</x:v>
      </x:c>
      <x:c r="U13" s="338">
        <x:v>5883</x:v>
      </x:c>
      <x:c r="V13" s="334">
        <x:f t="shared" si="1"/>
        <x:v>65415</x:v>
      </x:c>
      <x:c r="W13" s="1049" t="s">
        <x:v>339</x:v>
      </x:c>
      <x:c r="X13" s="838">
        <x:v>65415</x:v>
      </x:c>
      <x:c r="Y13" s="839">
        <x:f t="shared" si="0"/>
        <x:v>0</x:v>
      </x:c>
      <x:c r="Z13" s="48">
        <x:v>21805</x:v>
      </x:c>
      <x:c r="AA13" s="837">
        <x:f t="shared" si="2"/>
        <x:v>65415</x:v>
      </x:c>
    </x:row>
    <x:row r="14" spans="1:27" s="48" customFormat="1" ht="14.25" thickBot="1">
      <x:c r="A14" s="58"/>
      <x:c r="B14" s="339"/>
      <x:c r="C14" s="351" t="s">
        <x:v>332</x:v>
      </x:c>
      <x:c r="D14" s="351"/>
      <x:c r="E14" s="351"/>
      <x:c r="F14" s="351" t="s">
        <x:v>344</x:v>
      </x:c>
      <x:c r="G14" s="352" t="s">
        <x:v>345</x:v>
      </x:c>
      <x:c r="H14" s="351">
        <x:v>1</x:v>
      </x:c>
      <x:c r="I14" s="351" t="s">
        <x:v>1089</x:v>
      </x:c>
      <x:c r="J14" s="353">
        <x:v>1520</x:v>
      </x:c>
      <x:c r="K14" s="354">
        <x:v>1360</x:v>
      </x:c>
      <x:c r="L14" s="354">
        <x:v>1680</x:v>
      </x:c>
      <x:c r="M14" s="354">
        <x:v>1680</x:v>
      </x:c>
      <x:c r="N14" s="354">
        <x:v>1840</x:v>
      </x:c>
      <x:c r="O14" s="354">
        <x:v>2480</x:v>
      </x:c>
      <x:c r="P14" s="354">
        <x:v>1760</x:v>
      </x:c>
      <x:c r="Q14" s="354">
        <x:v>1800</x:v>
      </x:c>
      <x:c r="R14" s="354">
        <x:v>1874</x:v>
      </x:c>
      <x:c r="S14" s="354">
        <x:v>1906</x:v>
      </x:c>
      <x:c r="T14" s="354">
        <x:v>1944</x:v>
      </x:c>
      <x:c r="U14" s="354">
        <x:v>1961</x:v>
      </x:c>
      <x:c r="V14" s="355">
        <x:f t="shared" si="1"/>
        <x:v>21805</x:v>
      </x:c>
      <x:c r="W14" s="1050" t="s">
        <x:v>339</x:v>
      </x:c>
      <x:c r="X14" s="838">
        <x:v>21805</x:v>
      </x:c>
      <x:c r="Y14" s="839">
        <x:f t="shared" si="0"/>
        <x:v>0</x:v>
      </x:c>
      <x:c r="Z14" s="48">
        <x:v>21805</x:v>
      </x:c>
      <x:c r="AA14" s="837">
        <x:f t="shared" si="2"/>
        <x:v>21805</x:v>
      </x:c>
    </x:row>
    <x:row r="15" spans="1:27" s="48" customFormat="1" ht="13.5">
      <x:c r="A15" s="58"/>
      <x:c r="B15" s="345" t="s">
        <x:v>1034</x:v>
      </x:c>
      <x:c r="C15" s="356" t="s">
        <x:v>332</x:v>
      </x:c>
      <x:c r="D15" s="356"/>
      <x:c r="E15" s="356"/>
      <x:c r="F15" s="356" t="s">
        <x:v>1090</x:v>
      </x:c>
      <x:c r="G15" s="357" t="s">
        <x:v>1091</x:v>
      </x:c>
      <x:c r="H15" s="356">
        <x:v>1</x:v>
      </x:c>
      <x:c r="I15" s="356" t="s">
        <x:v>1089</x:v>
      </x:c>
      <x:c r="J15" s="358">
        <x:v>2004</x:v>
      </x:c>
      <x:c r="K15" s="359">
        <x:v>2059</x:v>
      </x:c>
      <x:c r="L15" s="359">
        <x:v>3966</x:v>
      </x:c>
      <x:c r="M15" s="359">
        <x:v>3354</x:v>
      </x:c>
      <x:c r="N15" s="359">
        <x:v>2679</x:v>
      </x:c>
      <x:c r="O15" s="359">
        <x:v>4244</x:v>
      </x:c>
      <x:c r="P15" s="359">
        <x:v>2581</x:v>
      </x:c>
      <x:c r="Q15" s="359">
        <x:v>4082</x:v>
      </x:c>
      <x:c r="R15" s="359">
        <x:v>3401</x:v>
      </x:c>
      <x:c r="S15" s="359">
        <x:v>3205</x:v>
      </x:c>
      <x:c r="T15" s="359">
        <x:v>0</x:v>
      </x:c>
      <x:c r="U15" s="359">
        <x:v>0</x:v>
      </x:c>
      <x:c r="V15" s="360">
        <x:f t="shared" si="1"/>
        <x:v>31575</x:v>
      </x:c>
      <x:c r="W15" s="1051" t="s">
        <x:v>349</x:v>
      </x:c>
      <x:c r="X15" s="838">
        <x:v>31019</x:v>
      </x:c>
      <x:c r="Y15" s="840">
        <x:f t="shared" si="0"/>
        <x:v>556</x:v>
      </x:c>
      <x:c r="Z15" s="48">
        <x:v>31019</x:v>
      </x:c>
      <x:c r="AA15" s="837">
        <x:f t="shared" si="2"/>
        <x:v>31019</x:v>
      </x:c>
    </x:row>
    <x:row r="16" spans="1:27" s="48" customFormat="1" ht="13.5">
      <x:c r="A16" s="58"/>
      <x:c r="B16" s="70"/>
      <x:c r="C16" s="235" t="s">
        <x:v>332</x:v>
      </x:c>
      <x:c r="D16" s="235"/>
      <x:c r="E16" s="235"/>
      <x:c r="F16" s="235" t="s">
        <x:v>366</x:v>
      </x:c>
      <x:c r="G16" s="236" t="s">
        <x:v>1035</x:v>
      </x:c>
      <x:c r="H16" s="235">
        <x:v>1</x:v>
      </x:c>
      <x:c r="I16" s="235" t="s">
        <x:v>1089</x:v>
      </x:c>
      <x:c r="J16" s="237">
        <x:v>2004</x:v>
      </x:c>
      <x:c r="K16" s="238">
        <x:v>2059</x:v>
      </x:c>
      <x:c r="L16" s="238">
        <x:v>3966</x:v>
      </x:c>
      <x:c r="M16" s="238">
        <x:v>3354</x:v>
      </x:c>
      <x:c r="N16" s="238">
        <x:v>2679</x:v>
      </x:c>
      <x:c r="O16" s="238">
        <x:v>4244</x:v>
      </x:c>
      <x:c r="P16" s="238">
        <x:v>2581</x:v>
      </x:c>
      <x:c r="Q16" s="238">
        <x:v>4082</x:v>
      </x:c>
      <x:c r="R16" s="238">
        <x:v>3401</x:v>
      </x:c>
      <x:c r="S16" s="238">
        <x:v>3205</x:v>
      </x:c>
      <x:c r="T16" s="238">
        <x:v>0</x:v>
      </x:c>
      <x:c r="U16" s="238">
        <x:v>0</x:v>
      </x:c>
      <x:c r="V16" s="60">
        <x:f t="shared" si="1"/>
        <x:v>31575</x:v>
      </x:c>
      <x:c r="W16" s="1046"/>
      <x:c r="X16" s="838">
        <x:v>31019</x:v>
      </x:c>
      <x:c r="Y16" s="840">
        <x:f t="shared" si="0"/>
        <x:v>556</x:v>
      </x:c>
      <x:c r="Z16" s="48">
        <x:v>31019</x:v>
      </x:c>
      <x:c r="AA16" s="837">
        <x:f t="shared" si="2"/>
        <x:v>31019</x:v>
      </x:c>
    </x:row>
    <x:row r="17" spans="1:27" s="48" customFormat="1" ht="13.5">
      <x:c r="A17" s="58"/>
      <x:c r="B17" s="70"/>
      <x:c r="C17" s="240" t="s">
        <x:v>332</x:v>
      </x:c>
      <x:c r="D17" s="240"/>
      <x:c r="E17" s="240"/>
      <x:c r="F17" s="240" t="s">
        <x:v>351</x:v>
      </x:c>
      <x:c r="G17" s="241" t="s">
        <x:v>1036</x:v>
      </x:c>
      <x:c r="H17" s="240">
        <x:v>1</x:v>
      </x:c>
      <x:c r="I17" s="240" t="s">
        <x:v>1089</x:v>
      </x:c>
      <x:c r="J17" s="242">
        <x:v>2004</x:v>
      </x:c>
      <x:c r="K17" s="243">
        <x:v>2059</x:v>
      </x:c>
      <x:c r="L17" s="243">
        <x:v>3966</x:v>
      </x:c>
      <x:c r="M17" s="243">
        <x:v>3354</x:v>
      </x:c>
      <x:c r="N17" s="243">
        <x:v>2679</x:v>
      </x:c>
      <x:c r="O17" s="243">
        <x:v>4244</x:v>
      </x:c>
      <x:c r="P17" s="243">
        <x:v>2581</x:v>
      </x:c>
      <x:c r="Q17" s="243">
        <x:v>4082</x:v>
      </x:c>
      <x:c r="R17" s="243">
        <x:v>3401</x:v>
      </x:c>
      <x:c r="S17" s="243">
        <x:v>3205</x:v>
      </x:c>
      <x:c r="T17" s="243">
        <x:v>0</x:v>
      </x:c>
      <x:c r="U17" s="243">
        <x:v>0</x:v>
      </x:c>
      <x:c r="V17" s="64">
        <x:f t="shared" si="1"/>
        <x:v>31575</x:v>
      </x:c>
      <x:c r="W17" s="1046"/>
      <x:c r="X17" s="838">
        <x:v>31019</x:v>
      </x:c>
      <x:c r="Y17" s="840">
        <x:f t="shared" si="0"/>
        <x:v>556</x:v>
      </x:c>
      <x:c r="Z17" s="48">
        <x:v>31019</x:v>
      </x:c>
      <x:c r="AA17" s="837">
        <x:f t="shared" si="2"/>
        <x:v>31019</x:v>
      </x:c>
    </x:row>
    <x:row r="18" spans="1:27" s="48" customFormat="1" ht="13.5">
      <x:c r="A18" s="58"/>
      <x:c r="B18" s="70"/>
      <x:c r="C18" s="240" t="s">
        <x:v>332</x:v>
      </x:c>
      <x:c r="D18" s="240"/>
      <x:c r="E18" s="240"/>
      <x:c r="F18" s="240" t="s">
        <x:v>353</x:v>
      </x:c>
      <x:c r="G18" s="241" t="s">
        <x:v>1037</x:v>
      </x:c>
      <x:c r="H18" s="240">
        <x:v>3</x:v>
      </x:c>
      <x:c r="I18" s="240" t="s">
        <x:v>1089</x:v>
      </x:c>
      <x:c r="J18" s="242">
        <x:v>6012</x:v>
      </x:c>
      <x:c r="K18" s="243">
        <x:v>6177</x:v>
      </x:c>
      <x:c r="L18" s="243">
        <x:v>11898</x:v>
      </x:c>
      <x:c r="M18" s="243">
        <x:v>10062</x:v>
      </x:c>
      <x:c r="N18" s="243">
        <x:v>8037</x:v>
      </x:c>
      <x:c r="O18" s="243">
        <x:v>12732</x:v>
      </x:c>
      <x:c r="P18" s="243">
        <x:v>7743</x:v>
      </x:c>
      <x:c r="Q18" s="243">
        <x:v>12246</x:v>
      </x:c>
      <x:c r="R18" s="243">
        <x:v>10203</x:v>
      </x:c>
      <x:c r="S18" s="243">
        <x:v>9615</x:v>
      </x:c>
      <x:c r="T18" s="243">
        <x:v>0</x:v>
      </x:c>
      <x:c r="U18" s="243">
        <x:v>0</x:v>
      </x:c>
      <x:c r="V18" s="64">
        <x:f t="shared" si="1"/>
        <x:v>94725</x:v>
      </x:c>
      <x:c r="W18" s="1046"/>
      <x:c r="X18" s="838">
        <x:v>93057</x:v>
      </x:c>
      <x:c r="Y18" s="840">
        <x:f t="shared" si="0"/>
        <x:v>1668</x:v>
      </x:c>
      <x:c r="Z18" s="48">
        <x:v>31019</x:v>
      </x:c>
      <x:c r="AA18" s="837">
        <x:f t="shared" si="2"/>
        <x:v>93057</x:v>
      </x:c>
    </x:row>
    <x:row r="19" spans="1:27" s="48" customFormat="1" ht="13.5">
      <x:c r="A19" s="58"/>
      <x:c r="B19" s="70"/>
      <x:c r="C19" s="240" t="s">
        <x:v>332</x:v>
      </x:c>
      <x:c r="D19" s="240"/>
      <x:c r="E19" s="240"/>
      <x:c r="F19" s="240" t="s">
        <x:v>354</x:v>
      </x:c>
      <x:c r="G19" s="241" t="s">
        <x:v>1038</x:v>
      </x:c>
      <x:c r="H19" s="240">
        <x:v>1</x:v>
      </x:c>
      <x:c r="I19" s="240" t="s">
        <x:v>1089</x:v>
      </x:c>
      <x:c r="J19" s="242">
        <x:v>2004</x:v>
      </x:c>
      <x:c r="K19" s="243">
        <x:v>2059</x:v>
      </x:c>
      <x:c r="L19" s="243">
        <x:v>3966</x:v>
      </x:c>
      <x:c r="M19" s="243">
        <x:v>3354</x:v>
      </x:c>
      <x:c r="N19" s="243">
        <x:v>2679</x:v>
      </x:c>
      <x:c r="O19" s="243">
        <x:v>4244</x:v>
      </x:c>
      <x:c r="P19" s="243">
        <x:v>2581</x:v>
      </x:c>
      <x:c r="Q19" s="243">
        <x:v>4082</x:v>
      </x:c>
      <x:c r="R19" s="243">
        <x:v>3401</x:v>
      </x:c>
      <x:c r="S19" s="243">
        <x:v>3205</x:v>
      </x:c>
      <x:c r="T19" s="243">
        <x:v>0</x:v>
      </x:c>
      <x:c r="U19" s="243">
        <x:v>0</x:v>
      </x:c>
      <x:c r="V19" s="65">
        <x:f t="shared" si="1"/>
        <x:v>31575</x:v>
      </x:c>
      <x:c r="W19" s="1046"/>
      <x:c r="X19" s="838">
        <x:v>31019</x:v>
      </x:c>
      <x:c r="Y19" s="840">
        <x:f t="shared" si="0"/>
        <x:v>556</x:v>
      </x:c>
      <x:c r="Z19" s="48">
        <x:v>31019</x:v>
      </x:c>
      <x:c r="AA19" s="837">
        <x:f t="shared" si="2"/>
        <x:v>31019</x:v>
      </x:c>
    </x:row>
    <x:row r="20" spans="1:27" s="48" customFormat="1" ht="13.5">
      <x:c r="A20" s="58"/>
      <x:c r="B20" s="70"/>
      <x:c r="C20" s="240" t="s">
        <x:v>332</x:v>
      </x:c>
      <x:c r="D20" s="240"/>
      <x:c r="E20" s="240"/>
      <x:c r="F20" s="240" t="s">
        <x:v>355</x:v>
      </x:c>
      <x:c r="G20" s="241" t="s">
        <x:v>1039</x:v>
      </x:c>
      <x:c r="H20" s="240">
        <x:v>1</x:v>
      </x:c>
      <x:c r="I20" s="240" t="s">
        <x:v>1089</x:v>
      </x:c>
      <x:c r="J20" s="242">
        <x:v>2004</x:v>
      </x:c>
      <x:c r="K20" s="243">
        <x:v>2059</x:v>
      </x:c>
      <x:c r="L20" s="243">
        <x:v>3966</x:v>
      </x:c>
      <x:c r="M20" s="243">
        <x:v>3354</x:v>
      </x:c>
      <x:c r="N20" s="243">
        <x:v>2679</x:v>
      </x:c>
      <x:c r="O20" s="243">
        <x:v>4244</x:v>
      </x:c>
      <x:c r="P20" s="243">
        <x:v>2581</x:v>
      </x:c>
      <x:c r="Q20" s="243">
        <x:v>4082</x:v>
      </x:c>
      <x:c r="R20" s="243">
        <x:v>3401</x:v>
      </x:c>
      <x:c r="S20" s="243">
        <x:v>3205</x:v>
      </x:c>
      <x:c r="T20" s="243">
        <x:v>0</x:v>
      </x:c>
      <x:c r="U20" s="243">
        <x:v>0</x:v>
      </x:c>
      <x:c r="V20" s="65">
        <x:f t="shared" si="1"/>
        <x:v>31575</x:v>
      </x:c>
      <x:c r="W20" s="1046"/>
      <x:c r="X20" s="838">
        <x:v>31019</x:v>
      </x:c>
      <x:c r="Y20" s="840">
        <x:f t="shared" si="0"/>
        <x:v>556</x:v>
      </x:c>
      <x:c r="Z20" s="48">
        <x:v>31019</x:v>
      </x:c>
      <x:c r="AA20" s="837">
        <x:f t="shared" si="2"/>
        <x:v>31019</x:v>
      </x:c>
    </x:row>
    <x:row r="21" spans="1:27" s="48" customFormat="1" ht="13.5">
      <x:c r="A21" s="58"/>
      <x:c r="B21" s="70"/>
      <x:c r="C21" s="240" t="s">
        <x:v>332</x:v>
      </x:c>
      <x:c r="D21" s="240"/>
      <x:c r="E21" s="240"/>
      <x:c r="F21" s="240" t="s">
        <x:v>356</x:v>
      </x:c>
      <x:c r="G21" s="241" t="s">
        <x:v>1040</x:v>
      </x:c>
      <x:c r="H21" s="240">
        <x:v>1</x:v>
      </x:c>
      <x:c r="I21" s="240" t="s">
        <x:v>1089</x:v>
      </x:c>
      <x:c r="J21" s="242">
        <x:v>2004</x:v>
      </x:c>
      <x:c r="K21" s="243">
        <x:v>2059</x:v>
      </x:c>
      <x:c r="L21" s="243">
        <x:v>3966</x:v>
      </x:c>
      <x:c r="M21" s="243">
        <x:v>3354</x:v>
      </x:c>
      <x:c r="N21" s="243">
        <x:v>2679</x:v>
      </x:c>
      <x:c r="O21" s="243">
        <x:v>4244</x:v>
      </x:c>
      <x:c r="P21" s="243">
        <x:v>2581</x:v>
      </x:c>
      <x:c r="Q21" s="243">
        <x:v>4082</x:v>
      </x:c>
      <x:c r="R21" s="243">
        <x:v>3401</x:v>
      </x:c>
      <x:c r="S21" s="243">
        <x:v>3205</x:v>
      </x:c>
      <x:c r="T21" s="243">
        <x:v>0</x:v>
      </x:c>
      <x:c r="U21" s="243">
        <x:v>0</x:v>
      </x:c>
      <x:c r="V21" s="65">
        <x:f t="shared" si="1"/>
        <x:v>31575</x:v>
      </x:c>
      <x:c r="W21" s="1046"/>
      <x:c r="X21" s="838">
        <x:v>31019</x:v>
      </x:c>
      <x:c r="Y21" s="840">
        <x:f t="shared" si="0"/>
        <x:v>556</x:v>
      </x:c>
      <x:c r="Z21" s="48">
        <x:v>31019</x:v>
      </x:c>
      <x:c r="AA21" s="837">
        <x:f t="shared" si="2"/>
        <x:v>31019</x:v>
      </x:c>
    </x:row>
    <x:row r="22" spans="1:27" s="48" customFormat="1" ht="13.5">
      <x:c r="A22" s="58"/>
      <x:c r="B22" s="70"/>
      <x:c r="C22" s="240" t="s">
        <x:v>332</x:v>
      </x:c>
      <x:c r="D22" s="235"/>
      <x:c r="E22" s="235"/>
      <x:c r="F22" s="235" t="s">
        <x:v>357</x:v>
      </x:c>
      <x:c r="G22" s="236" t="s">
        <x:v>1041</x:v>
      </x:c>
      <x:c r="H22" s="235">
        <x:v>1</x:v>
      </x:c>
      <x:c r="I22" s="235" t="s">
        <x:v>1089</x:v>
      </x:c>
      <x:c r="J22" s="242">
        <x:v>2004</x:v>
      </x:c>
      <x:c r="K22" s="243">
        <x:v>2059</x:v>
      </x:c>
      <x:c r="L22" s="243">
        <x:v>3966</x:v>
      </x:c>
      <x:c r="M22" s="243">
        <x:v>3354</x:v>
      </x:c>
      <x:c r="N22" s="243">
        <x:v>2679</x:v>
      </x:c>
      <x:c r="O22" s="243">
        <x:v>4244</x:v>
      </x:c>
      <x:c r="P22" s="243">
        <x:v>2581</x:v>
      </x:c>
      <x:c r="Q22" s="243">
        <x:v>4082</x:v>
      </x:c>
      <x:c r="R22" s="243">
        <x:v>3401</x:v>
      </x:c>
      <x:c r="S22" s="243">
        <x:v>3205</x:v>
      </x:c>
      <x:c r="T22" s="243">
        <x:v>0</x:v>
      </x:c>
      <x:c r="U22" s="243">
        <x:v>0</x:v>
      </x:c>
      <x:c r="V22" s="65">
        <x:f t="shared" si="1"/>
        <x:v>31575</x:v>
      </x:c>
      <x:c r="W22" s="1046"/>
      <x:c r="X22" s="838">
        <x:v>31019</x:v>
      </x:c>
      <x:c r="Y22" s="840">
        <x:f t="shared" si="0"/>
        <x:v>556</x:v>
      </x:c>
      <x:c r="Z22" s="48">
        <x:v>31019</x:v>
      </x:c>
      <x:c r="AA22" s="837">
        <x:f t="shared" si="2"/>
        <x:v>31019</x:v>
      </x:c>
    </x:row>
    <x:row r="23" spans="1:27" s="48" customFormat="1" ht="13.5">
      <x:c r="A23" s="58"/>
      <x:c r="B23" s="70"/>
      <x:c r="C23" s="240" t="s">
        <x:v>332</x:v>
      </x:c>
      <x:c r="D23" s="61"/>
      <x:c r="E23" s="71"/>
      <x:c r="F23" s="72" t="s">
        <x:v>358</x:v>
      </x:c>
      <x:c r="G23" s="62" t="s">
        <x:v>359</x:v>
      </x:c>
      <x:c r="H23" s="73">
        <x:v>1</x:v>
      </x:c>
      <x:c r="I23" s="240" t="s">
        <x:v>1089</x:v>
      </x:c>
      <x:c r="J23" s="242">
        <x:v>2004</x:v>
      </x:c>
      <x:c r="K23" s="243">
        <x:v>2059</x:v>
      </x:c>
      <x:c r="L23" s="243">
        <x:v>3966</x:v>
      </x:c>
      <x:c r="M23" s="243">
        <x:v>3354</x:v>
      </x:c>
      <x:c r="N23" s="243">
        <x:v>2679</x:v>
      </x:c>
      <x:c r="O23" s="243">
        <x:v>4244</x:v>
      </x:c>
      <x:c r="P23" s="243">
        <x:v>2581</x:v>
      </x:c>
      <x:c r="Q23" s="243">
        <x:v>4082</x:v>
      </x:c>
      <x:c r="R23" s="243">
        <x:v>3401</x:v>
      </x:c>
      <x:c r="S23" s="243">
        <x:v>3205</x:v>
      </x:c>
      <x:c r="T23" s="243">
        <x:v>0</x:v>
      </x:c>
      <x:c r="U23" s="243">
        <x:v>0</x:v>
      </x:c>
      <x:c r="V23" s="74">
        <x:f t="shared" si="1"/>
        <x:v>31575</x:v>
      </x:c>
      <x:c r="W23" s="1046"/>
      <x:c r="X23" s="838">
        <x:v>31019</x:v>
      </x:c>
      <x:c r="Y23" s="840">
        <x:f t="shared" si="0"/>
        <x:v>556</x:v>
      </x:c>
      <x:c r="Z23" s="48">
        <x:v>31019</x:v>
      </x:c>
      <x:c r="AA23" s="837">
        <x:f t="shared" si="2"/>
        <x:v>31019</x:v>
      </x:c>
    </x:row>
    <x:row r="24" spans="1:27" s="48" customFormat="1" ht="13.5">
      <x:c r="A24" s="58"/>
      <x:c r="B24" s="70"/>
      <x:c r="C24" s="240" t="s">
        <x:v>332</x:v>
      </x:c>
      <x:c r="D24" s="240"/>
      <x:c r="E24" s="244"/>
      <x:c r="F24" s="245" t="s">
        <x:v>360</x:v>
      </x:c>
      <x:c r="G24" s="241" t="s">
        <x:v>1042</x:v>
      </x:c>
      <x:c r="H24" s="246">
        <x:v>1</x:v>
      </x:c>
      <x:c r="I24" s="240" t="s">
        <x:v>1089</x:v>
      </x:c>
      <x:c r="J24" s="242">
        <x:v>2004</x:v>
      </x:c>
      <x:c r="K24" s="243">
        <x:v>2059</x:v>
      </x:c>
      <x:c r="L24" s="243">
        <x:v>3966</x:v>
      </x:c>
      <x:c r="M24" s="243">
        <x:v>3354</x:v>
      </x:c>
      <x:c r="N24" s="243">
        <x:v>2679</x:v>
      </x:c>
      <x:c r="O24" s="243">
        <x:v>4244</x:v>
      </x:c>
      <x:c r="P24" s="243">
        <x:v>2581</x:v>
      </x:c>
      <x:c r="Q24" s="243">
        <x:v>4082</x:v>
      </x:c>
      <x:c r="R24" s="243">
        <x:v>3401</x:v>
      </x:c>
      <x:c r="S24" s="243">
        <x:v>3205</x:v>
      </x:c>
      <x:c r="T24" s="243">
        <x:v>0</x:v>
      </x:c>
      <x:c r="U24" s="243">
        <x:v>0</x:v>
      </x:c>
      <x:c r="V24" s="64">
        <x:f t="shared" si="1"/>
        <x:v>31575</x:v>
      </x:c>
      <x:c r="W24" s="1046"/>
      <x:c r="X24" s="838">
        <x:v>31019</x:v>
      </x:c>
      <x:c r="Y24" s="840">
        <x:f t="shared" si="0"/>
        <x:v>556</x:v>
      </x:c>
      <x:c r="Z24" s="48">
        <x:v>31019</x:v>
      </x:c>
      <x:c r="AA24" s="837">
        <x:f t="shared" si="2"/>
        <x:v>31019</x:v>
      </x:c>
    </x:row>
    <x:row r="25" spans="1:27" s="48" customFormat="1" ht="13.5">
      <x:c r="A25" s="58"/>
      <x:c r="B25" s="70"/>
      <x:c r="C25" s="240" t="s">
        <x:v>332</x:v>
      </x:c>
      <x:c r="D25" s="240"/>
      <x:c r="E25" s="240"/>
      <x:c r="F25" s="240" t="s">
        <x:v>361</x:v>
      </x:c>
      <x:c r="G25" s="241" t="s">
        <x:v>1043</x:v>
      </x:c>
      <x:c r="H25" s="240">
        <x:v>1</x:v>
      </x:c>
      <x:c r="I25" s="240" t="s">
        <x:v>1089</x:v>
      </x:c>
      <x:c r="J25" s="242">
        <x:v>2004</x:v>
      </x:c>
      <x:c r="K25" s="243">
        <x:v>2059</x:v>
      </x:c>
      <x:c r="L25" s="243">
        <x:v>3966</x:v>
      </x:c>
      <x:c r="M25" s="243">
        <x:v>3354</x:v>
      </x:c>
      <x:c r="N25" s="243">
        <x:v>2679</x:v>
      </x:c>
      <x:c r="O25" s="243">
        <x:v>4244</x:v>
      </x:c>
      <x:c r="P25" s="243">
        <x:v>2581</x:v>
      </x:c>
      <x:c r="Q25" s="243">
        <x:v>4082</x:v>
      </x:c>
      <x:c r="R25" s="243">
        <x:v>3401</x:v>
      </x:c>
      <x:c r="S25" s="243">
        <x:v>3205</x:v>
      </x:c>
      <x:c r="T25" s="243">
        <x:v>0</x:v>
      </x:c>
      <x:c r="U25" s="243">
        <x:v>0</x:v>
      </x:c>
      <x:c r="V25" s="64">
        <x:f t="shared" si="1"/>
        <x:v>31575</x:v>
      </x:c>
      <x:c r="W25" s="1046"/>
      <x:c r="X25" s="838">
        <x:v>31019</x:v>
      </x:c>
      <x:c r="Y25" s="840">
        <x:f t="shared" si="0"/>
        <x:v>556</x:v>
      </x:c>
      <x:c r="Z25" s="48">
        <x:v>31019</x:v>
      </x:c>
      <x:c r="AA25" s="837">
        <x:f t="shared" si="2"/>
        <x:v>31019</x:v>
      </x:c>
    </x:row>
    <x:row r="26" spans="1:27" s="48" customFormat="1" ht="13.5">
      <x:c r="A26" s="58"/>
      <x:c r="B26" s="70"/>
      <x:c r="C26" s="240" t="s">
        <x:v>332</x:v>
      </x:c>
      <x:c r="D26" s="235"/>
      <x:c r="E26" s="235"/>
      <x:c r="F26" s="235" t="s">
        <x:v>362</x:v>
      </x:c>
      <x:c r="G26" s="236" t="s">
        <x:v>1044</x:v>
      </x:c>
      <x:c r="H26" s="235">
        <x:v>1</x:v>
      </x:c>
      <x:c r="I26" s="235" t="s">
        <x:v>1089</x:v>
      </x:c>
      <x:c r="J26" s="242">
        <x:v>2004</x:v>
      </x:c>
      <x:c r="K26" s="243">
        <x:v>2059</x:v>
      </x:c>
      <x:c r="L26" s="243">
        <x:v>3966</x:v>
      </x:c>
      <x:c r="M26" s="243">
        <x:v>3354</x:v>
      </x:c>
      <x:c r="N26" s="243">
        <x:v>2679</x:v>
      </x:c>
      <x:c r="O26" s="243">
        <x:v>4244</x:v>
      </x:c>
      <x:c r="P26" s="243">
        <x:v>2581</x:v>
      </x:c>
      <x:c r="Q26" s="243">
        <x:v>4082</x:v>
      </x:c>
      <x:c r="R26" s="243">
        <x:v>3401</x:v>
      </x:c>
      <x:c r="S26" s="243">
        <x:v>3205</x:v>
      </x:c>
      <x:c r="T26" s="243">
        <x:v>0</x:v>
      </x:c>
      <x:c r="U26" s="243">
        <x:v>0</x:v>
      </x:c>
      <x:c r="V26" s="65">
        <x:f t="shared" si="1"/>
        <x:v>31575</x:v>
      </x:c>
      <x:c r="W26" s="1046"/>
      <x:c r="X26" s="838">
        <x:v>31019</x:v>
      </x:c>
      <x:c r="Y26" s="840">
        <x:f t="shared" si="0"/>
        <x:v>556</x:v>
      </x:c>
      <x:c r="Z26" s="48">
        <x:v>31019</x:v>
      </x:c>
      <x:c r="AA26" s="837">
        <x:f t="shared" si="2"/>
        <x:v>31019</x:v>
      </x:c>
    </x:row>
    <x:row r="27" spans="1:27" s="48" customFormat="1" ht="14.25" thickBot="1">
      <x:c r="A27" s="58"/>
      <x:c r="B27" s="361"/>
      <x:c r="C27" s="340" t="s">
        <x:v>332</x:v>
      </x:c>
      <x:c r="D27" s="340"/>
      <x:c r="E27" s="340"/>
      <x:c r="F27" s="340" t="s">
        <x:v>351</x:v>
      </x:c>
      <x:c r="G27" s="341" t="s">
        <x:v>352</x:v>
      </x:c>
      <x:c r="H27" s="340">
        <x:v>1</x:v>
      </x:c>
      <x:c r="I27" s="340" t="s">
        <x:v>1089</x:v>
      </x:c>
      <x:c r="J27" s="342">
        <x:v>2004</x:v>
      </x:c>
      <x:c r="K27" s="343">
        <x:v>2059</x:v>
      </x:c>
      <x:c r="L27" s="343">
        <x:v>3966</x:v>
      </x:c>
      <x:c r="M27" s="343">
        <x:v>3354</x:v>
      </x:c>
      <x:c r="N27" s="343">
        <x:v>2679</x:v>
      </x:c>
      <x:c r="O27" s="343">
        <x:v>4244</x:v>
      </x:c>
      <x:c r="P27" s="343">
        <x:v>2581</x:v>
      </x:c>
      <x:c r="Q27" s="343">
        <x:v>4082</x:v>
      </x:c>
      <x:c r="R27" s="343">
        <x:v>3401</x:v>
      </x:c>
      <x:c r="S27" s="343">
        <x:v>3205</x:v>
      </x:c>
      <x:c r="T27" s="343">
        <x:v>0</x:v>
      </x:c>
      <x:c r="U27" s="343">
        <x:v>0</x:v>
      </x:c>
      <x:c r="V27" s="344">
        <x:f t="shared" si="1"/>
        <x:v>31575</x:v>
      </x:c>
      <x:c r="W27" s="1047"/>
      <x:c r="X27" s="838">
        <x:v>31019</x:v>
      </x:c>
      <x:c r="Y27" s="840">
        <x:f t="shared" si="0"/>
        <x:v>556</x:v>
      </x:c>
      <x:c r="Z27" s="48">
        <x:v>31019</x:v>
      </x:c>
      <x:c r="AA27" s="837">
        <x:f t="shared" si="2"/>
        <x:v>31019</x:v>
      </x:c>
    </x:row>
    <x:row r="28" spans="1:27" s="48" customFormat="1">
      <x:c r="A28" s="58"/>
      <x:c r="B28" s="345" t="s">
        <x:v>363</x:v>
      </x:c>
      <x:c r="C28" s="356" t="s">
        <x:v>332</x:v>
      </x:c>
      <x:c r="D28" s="356"/>
      <x:c r="E28" s="356"/>
      <x:c r="F28" s="356" t="s">
        <x:v>351</x:v>
      </x:c>
      <x:c r="G28" s="357" t="s">
        <x:v>352</x:v>
      </x:c>
      <x:c r="H28" s="356">
        <x:v>1</x:v>
      </x:c>
      <x:c r="I28" s="356" t="s">
        <x:v>1089</x:v>
      </x:c>
      <x:c r="J28" s="358">
        <x:v>65</x:v>
      </x:c>
      <x:c r="K28" s="359">
        <x:v>558</x:v>
      </x:c>
      <x:c r="L28" s="359">
        <x:v>980</x:v>
      </x:c>
      <x:c r="M28" s="359">
        <x:v>783</x:v>
      </x:c>
      <x:c r="N28" s="359">
        <x:v>588</x:v>
      </x:c>
      <x:c r="O28" s="359">
        <x:v>1004</x:v>
      </x:c>
      <x:c r="P28" s="359">
        <x:v>552</x:v>
      </x:c>
      <x:c r="Q28" s="359">
        <x:v>940</x:v>
      </x:c>
      <x:c r="R28" s="359">
        <x:v>766</x:v>
      </x:c>
      <x:c r="S28" s="359">
        <x:v>777</x:v>
      </x:c>
      <x:c r="T28" s="359">
        <x:v>0</x:v>
      </x:c>
      <x:c r="U28" s="359">
        <x:v>0</x:v>
      </x:c>
      <x:c r="V28" s="360">
        <x:f t="shared" si="1"/>
        <x:v>7013</x:v>
      </x:c>
      <x:c r="W28" s="1051" t="s">
        <x:v>365</x:v>
      </x:c>
      <x:c r="X28" s="838">
        <x:v>7013</x:v>
      </x:c>
      <x:c r="Y28" s="839">
        <x:f t="shared" si="0"/>
        <x:v>0</x:v>
      </x:c>
      <x:c r="Z28" s="1134">
        <x:v>7013</x:v>
      </x:c>
      <x:c r="AA28" s="837">
        <x:f t="shared" si="2"/>
        <x:v>7013</x:v>
      </x:c>
    </x:row>
    <x:row r="29" spans="1:27" s="48" customFormat="1">
      <x:c r="A29" s="58"/>
      <x:c r="B29" s="70"/>
      <x:c r="C29" s="235" t="s">
        <x:v>332</x:v>
      </x:c>
      <x:c r="D29" s="235"/>
      <x:c r="E29" s="235"/>
      <x:c r="F29" s="235" t="s">
        <x:v>366</x:v>
      </x:c>
      <x:c r="G29" s="236" t="s">
        <x:v>1035</x:v>
      </x:c>
      <x:c r="H29" s="235">
        <x:v>1</x:v>
      </x:c>
      <x:c r="I29" s="235" t="s">
        <x:v>1089</x:v>
      </x:c>
      <x:c r="J29" s="237">
        <x:v>65</x:v>
      </x:c>
      <x:c r="K29" s="238">
        <x:v>558</x:v>
      </x:c>
      <x:c r="L29" s="238">
        <x:v>980</x:v>
      </x:c>
      <x:c r="M29" s="238">
        <x:v>783</x:v>
      </x:c>
      <x:c r="N29" s="238">
        <x:v>588</x:v>
      </x:c>
      <x:c r="O29" s="238">
        <x:v>1004</x:v>
      </x:c>
      <x:c r="P29" s="238">
        <x:v>552</x:v>
      </x:c>
      <x:c r="Q29" s="238">
        <x:v>940</x:v>
      </x:c>
      <x:c r="R29" s="238">
        <x:v>766</x:v>
      </x:c>
      <x:c r="S29" s="238">
        <x:v>777</x:v>
      </x:c>
      <x:c r="T29" s="238">
        <x:v>0</x:v>
      </x:c>
      <x:c r="U29" s="238">
        <x:v>0</x:v>
      </x:c>
      <x:c r="V29" s="60">
        <x:f t="shared" si="1"/>
        <x:v>7013</x:v>
      </x:c>
      <x:c r="W29" s="1046"/>
      <x:c r="X29" s="838">
        <x:v>7013</x:v>
      </x:c>
      <x:c r="Y29" s="839">
        <x:f t="shared" si="0"/>
        <x:v>0</x:v>
      </x:c>
      <x:c r="Z29" s="1134">
        <x:v>7013</x:v>
      </x:c>
      <x:c r="AA29" s="837">
        <x:f t="shared" si="2"/>
        <x:v>7013</x:v>
      </x:c>
    </x:row>
    <x:row r="30" spans="1:27" s="48" customFormat="1">
      <x:c r="A30" s="58"/>
      <x:c r="B30" s="70"/>
      <x:c r="C30" s="240" t="s">
        <x:v>332</x:v>
      </x:c>
      <x:c r="D30" s="240"/>
      <x:c r="E30" s="240"/>
      <x:c r="F30" s="240" t="s">
        <x:v>351</x:v>
      </x:c>
      <x:c r="G30" s="241" t="s">
        <x:v>1036</x:v>
      </x:c>
      <x:c r="H30" s="240">
        <x:v>1</x:v>
      </x:c>
      <x:c r="I30" s="240" t="s">
        <x:v>1089</x:v>
      </x:c>
      <x:c r="J30" s="242">
        <x:v>65</x:v>
      </x:c>
      <x:c r="K30" s="243">
        <x:v>558</x:v>
      </x:c>
      <x:c r="L30" s="243">
        <x:v>980</x:v>
      </x:c>
      <x:c r="M30" s="243">
        <x:v>783</x:v>
      </x:c>
      <x:c r="N30" s="243">
        <x:v>588</x:v>
      </x:c>
      <x:c r="O30" s="243">
        <x:v>1004</x:v>
      </x:c>
      <x:c r="P30" s="243">
        <x:v>552</x:v>
      </x:c>
      <x:c r="Q30" s="243">
        <x:v>940</x:v>
      </x:c>
      <x:c r="R30" s="243">
        <x:v>766</x:v>
      </x:c>
      <x:c r="S30" s="243">
        <x:v>777</x:v>
      </x:c>
      <x:c r="T30" s="243">
        <x:v>0</x:v>
      </x:c>
      <x:c r="U30" s="243">
        <x:v>0</x:v>
      </x:c>
      <x:c r="V30" s="64">
        <x:f t="shared" si="1"/>
        <x:v>7013</x:v>
      </x:c>
      <x:c r="W30" s="1046"/>
      <x:c r="X30" s="838">
        <x:v>7013</x:v>
      </x:c>
      <x:c r="Y30" s="839">
        <x:f t="shared" si="0"/>
        <x:v>0</x:v>
      </x:c>
      <x:c r="Z30" s="1134">
        <x:v>7013</x:v>
      </x:c>
      <x:c r="AA30" s="837">
        <x:f t="shared" si="2"/>
        <x:v>7013</x:v>
      </x:c>
    </x:row>
    <x:row r="31" spans="1:27" s="48" customFormat="1">
      <x:c r="A31" s="58"/>
      <x:c r="B31" s="70"/>
      <x:c r="C31" s="240" t="s">
        <x:v>332</x:v>
      </x:c>
      <x:c r="D31" s="240"/>
      <x:c r="E31" s="240"/>
      <x:c r="F31" s="240" t="s">
        <x:v>353</x:v>
      </x:c>
      <x:c r="G31" s="241" t="s">
        <x:v>1037</x:v>
      </x:c>
      <x:c r="H31" s="240">
        <x:v>3</x:v>
      </x:c>
      <x:c r="I31" s="240" t="s">
        <x:v>1089</x:v>
      </x:c>
      <x:c r="J31" s="242">
        <x:v>195</x:v>
      </x:c>
      <x:c r="K31" s="243">
        <x:v>1674</x:v>
      </x:c>
      <x:c r="L31" s="243">
        <x:v>2940</x:v>
      </x:c>
      <x:c r="M31" s="243">
        <x:v>2349</x:v>
      </x:c>
      <x:c r="N31" s="243">
        <x:v>1764</x:v>
      </x:c>
      <x:c r="O31" s="243">
        <x:v>3012</x:v>
      </x:c>
      <x:c r="P31" s="243">
        <x:v>1656</x:v>
      </x:c>
      <x:c r="Q31" s="243">
        <x:v>2820</x:v>
      </x:c>
      <x:c r="R31" s="243">
        <x:v>2298</x:v>
      </x:c>
      <x:c r="S31" s="243">
        <x:v>2331</x:v>
      </x:c>
      <x:c r="T31" s="243">
        <x:v>0</x:v>
      </x:c>
      <x:c r="U31" s="243">
        <x:v>0</x:v>
      </x:c>
      <x:c r="V31" s="64">
        <x:f t="shared" si="1"/>
        <x:v>21039</x:v>
      </x:c>
      <x:c r="W31" s="1046"/>
      <x:c r="X31" s="838">
        <x:v>21039</x:v>
      </x:c>
      <x:c r="Y31" s="839">
        <x:f t="shared" si="0"/>
        <x:v>0</x:v>
      </x:c>
      <x:c r="Z31" s="1134">
        <x:v>7013</x:v>
      </x:c>
      <x:c r="AA31" s="837">
        <x:f t="shared" si="2"/>
        <x:v>21039</x:v>
      </x:c>
    </x:row>
    <x:row r="32" spans="1:27" s="48" customFormat="1">
      <x:c r="A32" s="58"/>
      <x:c r="B32" s="70"/>
      <x:c r="C32" s="240" t="s">
        <x:v>332</x:v>
      </x:c>
      <x:c r="D32" s="240"/>
      <x:c r="E32" s="240"/>
      <x:c r="F32" s="240" t="s">
        <x:v>354</x:v>
      </x:c>
      <x:c r="G32" s="241" t="s">
        <x:v>1038</x:v>
      </x:c>
      <x:c r="H32" s="240">
        <x:v>1</x:v>
      </x:c>
      <x:c r="I32" s="240" t="s">
        <x:v>1089</x:v>
      </x:c>
      <x:c r="J32" s="242">
        <x:v>65</x:v>
      </x:c>
      <x:c r="K32" s="243">
        <x:v>558</x:v>
      </x:c>
      <x:c r="L32" s="243">
        <x:v>980</x:v>
      </x:c>
      <x:c r="M32" s="243">
        <x:v>783</x:v>
      </x:c>
      <x:c r="N32" s="243">
        <x:v>588</x:v>
      </x:c>
      <x:c r="O32" s="243">
        <x:v>1004</x:v>
      </x:c>
      <x:c r="P32" s="243">
        <x:v>552</x:v>
      </x:c>
      <x:c r="Q32" s="243">
        <x:v>940</x:v>
      </x:c>
      <x:c r="R32" s="243">
        <x:v>766</x:v>
      </x:c>
      <x:c r="S32" s="243">
        <x:v>777</x:v>
      </x:c>
      <x:c r="T32" s="243">
        <x:v>0</x:v>
      </x:c>
      <x:c r="U32" s="243">
        <x:v>0</x:v>
      </x:c>
      <x:c r="V32" s="65">
        <x:f t="shared" si="1"/>
        <x:v>7013</x:v>
      </x:c>
      <x:c r="W32" s="1046"/>
      <x:c r="X32" s="838">
        <x:v>7013</x:v>
      </x:c>
      <x:c r="Y32" s="839">
        <x:f t="shared" si="0"/>
        <x:v>0</x:v>
      </x:c>
      <x:c r="Z32" s="1134">
        <x:v>7013</x:v>
      </x:c>
      <x:c r="AA32" s="837">
        <x:f t="shared" si="2"/>
        <x:v>7013</x:v>
      </x:c>
    </x:row>
    <x:row r="33" spans="1:27" s="48" customFormat="1">
      <x:c r="A33" s="58"/>
      <x:c r="B33" s="70"/>
      <x:c r="C33" s="240" t="s">
        <x:v>332</x:v>
      </x:c>
      <x:c r="D33" s="240"/>
      <x:c r="E33" s="240"/>
      <x:c r="F33" s="240" t="s">
        <x:v>355</x:v>
      </x:c>
      <x:c r="G33" s="241" t="s">
        <x:v>1039</x:v>
      </x:c>
      <x:c r="H33" s="240">
        <x:v>1</x:v>
      </x:c>
      <x:c r="I33" s="240" t="s">
        <x:v>1089</x:v>
      </x:c>
      <x:c r="J33" s="242">
        <x:v>65</x:v>
      </x:c>
      <x:c r="K33" s="243">
        <x:v>558</x:v>
      </x:c>
      <x:c r="L33" s="243">
        <x:v>980</x:v>
      </x:c>
      <x:c r="M33" s="243">
        <x:v>783</x:v>
      </x:c>
      <x:c r="N33" s="243">
        <x:v>588</x:v>
      </x:c>
      <x:c r="O33" s="243">
        <x:v>1004</x:v>
      </x:c>
      <x:c r="P33" s="243">
        <x:v>552</x:v>
      </x:c>
      <x:c r="Q33" s="243">
        <x:v>940</x:v>
      </x:c>
      <x:c r="R33" s="243">
        <x:v>766</x:v>
      </x:c>
      <x:c r="S33" s="243">
        <x:v>777</x:v>
      </x:c>
      <x:c r="T33" s="243">
        <x:v>0</x:v>
      </x:c>
      <x:c r="U33" s="243">
        <x:v>0</x:v>
      </x:c>
      <x:c r="V33" s="65">
        <x:f t="shared" si="1"/>
        <x:v>7013</x:v>
      </x:c>
      <x:c r="W33" s="1046"/>
      <x:c r="X33" s="838">
        <x:v>7013</x:v>
      </x:c>
      <x:c r="Y33" s="839">
        <x:f t="shared" si="0"/>
        <x:v>0</x:v>
      </x:c>
      <x:c r="Z33" s="1134">
        <x:v>7013</x:v>
      </x:c>
      <x:c r="AA33" s="837">
        <x:f t="shared" si="2"/>
        <x:v>7013</x:v>
      </x:c>
    </x:row>
    <x:row r="34" spans="1:27" s="48" customFormat="1">
      <x:c r="A34" s="58"/>
      <x:c r="B34" s="70"/>
      <x:c r="C34" s="240" t="s">
        <x:v>332</x:v>
      </x:c>
      <x:c r="D34" s="240"/>
      <x:c r="E34" s="240"/>
      <x:c r="F34" s="240" t="s">
        <x:v>356</x:v>
      </x:c>
      <x:c r="G34" s="241" t="s">
        <x:v>1040</x:v>
      </x:c>
      <x:c r="H34" s="240">
        <x:v>1</x:v>
      </x:c>
      <x:c r="I34" s="240" t="s">
        <x:v>1089</x:v>
      </x:c>
      <x:c r="J34" s="242">
        <x:v>65</x:v>
      </x:c>
      <x:c r="K34" s="243">
        <x:v>558</x:v>
      </x:c>
      <x:c r="L34" s="243">
        <x:v>980</x:v>
      </x:c>
      <x:c r="M34" s="243">
        <x:v>783</x:v>
      </x:c>
      <x:c r="N34" s="243">
        <x:v>588</x:v>
      </x:c>
      <x:c r="O34" s="243">
        <x:v>1004</x:v>
      </x:c>
      <x:c r="P34" s="243">
        <x:v>552</x:v>
      </x:c>
      <x:c r="Q34" s="243">
        <x:v>940</x:v>
      </x:c>
      <x:c r="R34" s="243">
        <x:v>766</x:v>
      </x:c>
      <x:c r="S34" s="243">
        <x:v>777</x:v>
      </x:c>
      <x:c r="T34" s="243">
        <x:v>0</x:v>
      </x:c>
      <x:c r="U34" s="243">
        <x:v>0</x:v>
      </x:c>
      <x:c r="V34" s="65">
        <x:f t="shared" si="1"/>
        <x:v>7013</x:v>
      </x:c>
      <x:c r="W34" s="1046"/>
      <x:c r="X34" s="838">
        <x:v>7013</x:v>
      </x:c>
      <x:c r="Y34" s="839">
        <x:f t="shared" si="0"/>
        <x:v>0</x:v>
      </x:c>
      <x:c r="Z34" s="1134">
        <x:v>7013</x:v>
      </x:c>
      <x:c r="AA34" s="837">
        <x:f t="shared" si="2"/>
        <x:v>7013</x:v>
      </x:c>
    </x:row>
    <x:row r="35" spans="1:27" s="48" customFormat="1">
      <x:c r="A35" s="58"/>
      <x:c r="B35" s="70"/>
      <x:c r="C35" s="240" t="s">
        <x:v>332</x:v>
      </x:c>
      <x:c r="D35" s="235"/>
      <x:c r="E35" s="235"/>
      <x:c r="F35" s="235" t="s">
        <x:v>357</x:v>
      </x:c>
      <x:c r="G35" s="236" t="s">
        <x:v>1041</x:v>
      </x:c>
      <x:c r="H35" s="235">
        <x:v>1</x:v>
      </x:c>
      <x:c r="I35" s="235" t="s">
        <x:v>1089</x:v>
      </x:c>
      <x:c r="J35" s="242">
        <x:v>65</x:v>
      </x:c>
      <x:c r="K35" s="243">
        <x:v>558</x:v>
      </x:c>
      <x:c r="L35" s="243">
        <x:v>980</x:v>
      </x:c>
      <x:c r="M35" s="243">
        <x:v>783</x:v>
      </x:c>
      <x:c r="N35" s="243">
        <x:v>588</x:v>
      </x:c>
      <x:c r="O35" s="243">
        <x:v>1004</x:v>
      </x:c>
      <x:c r="P35" s="243">
        <x:v>552</x:v>
      </x:c>
      <x:c r="Q35" s="243">
        <x:v>940</x:v>
      </x:c>
      <x:c r="R35" s="243">
        <x:v>766</x:v>
      </x:c>
      <x:c r="S35" s="243">
        <x:v>777</x:v>
      </x:c>
      <x:c r="T35" s="243">
        <x:v>0</x:v>
      </x:c>
      <x:c r="U35" s="243">
        <x:v>0</x:v>
      </x:c>
      <x:c r="V35" s="65">
        <x:f t="shared" si="1"/>
        <x:v>7013</x:v>
      </x:c>
      <x:c r="W35" s="1046"/>
      <x:c r="X35" s="838">
        <x:v>7013</x:v>
      </x:c>
      <x:c r="Y35" s="839">
        <x:f t="shared" si="0"/>
        <x:v>0</x:v>
      </x:c>
      <x:c r="Z35" s="1134">
        <x:v>7013</x:v>
      </x:c>
      <x:c r="AA35" s="837">
        <x:f t="shared" si="2"/>
        <x:v>7013</x:v>
      </x:c>
    </x:row>
    <x:row r="36" spans="1:27" s="48" customFormat="1">
      <x:c r="A36" s="58"/>
      <x:c r="B36" s="70"/>
      <x:c r="C36" s="240" t="s">
        <x:v>332</x:v>
      </x:c>
      <x:c r="D36" s="61"/>
      <x:c r="E36" s="71"/>
      <x:c r="F36" s="72" t="s">
        <x:v>358</x:v>
      </x:c>
      <x:c r="G36" s="62" t="s">
        <x:v>359</x:v>
      </x:c>
      <x:c r="H36" s="73">
        <x:v>1</x:v>
      </x:c>
      <x:c r="I36" s="240" t="s">
        <x:v>1089</x:v>
      </x:c>
      <x:c r="J36" s="242">
        <x:v>65</x:v>
      </x:c>
      <x:c r="K36" s="243">
        <x:v>558</x:v>
      </x:c>
      <x:c r="L36" s="243">
        <x:v>980</x:v>
      </x:c>
      <x:c r="M36" s="243">
        <x:v>783</x:v>
      </x:c>
      <x:c r="N36" s="243">
        <x:v>588</x:v>
      </x:c>
      <x:c r="O36" s="243">
        <x:v>1004</x:v>
      </x:c>
      <x:c r="P36" s="243">
        <x:v>552</x:v>
      </x:c>
      <x:c r="Q36" s="243">
        <x:v>940</x:v>
      </x:c>
      <x:c r="R36" s="243">
        <x:v>766</x:v>
      </x:c>
      <x:c r="S36" s="243">
        <x:v>777</x:v>
      </x:c>
      <x:c r="T36" s="243">
        <x:v>0</x:v>
      </x:c>
      <x:c r="U36" s="243">
        <x:v>0</x:v>
      </x:c>
      <x:c r="V36" s="74">
        <x:f t="shared" si="1"/>
        <x:v>7013</x:v>
      </x:c>
      <x:c r="W36" s="1046"/>
      <x:c r="X36" s="838">
        <x:v>7013</x:v>
      </x:c>
      <x:c r="Y36" s="839">
        <x:f t="shared" si="0"/>
        <x:v>0</x:v>
      </x:c>
      <x:c r="Z36" s="1134">
        <x:v>7013</x:v>
      </x:c>
      <x:c r="AA36" s="837">
        <x:f t="shared" si="2"/>
        <x:v>7013</x:v>
      </x:c>
    </x:row>
    <x:row r="37" spans="1:27" s="48" customFormat="1">
      <x:c r="A37" s="58"/>
      <x:c r="B37" s="70"/>
      <x:c r="C37" s="240" t="s">
        <x:v>332</x:v>
      </x:c>
      <x:c r="D37" s="240"/>
      <x:c r="E37" s="244"/>
      <x:c r="F37" s="245" t="s">
        <x:v>360</x:v>
      </x:c>
      <x:c r="G37" s="241" t="s">
        <x:v>1042</x:v>
      </x:c>
      <x:c r="H37" s="246">
        <x:v>1</x:v>
      </x:c>
      <x:c r="I37" s="240" t="s">
        <x:v>1089</x:v>
      </x:c>
      <x:c r="J37" s="242">
        <x:v>65</x:v>
      </x:c>
      <x:c r="K37" s="243">
        <x:v>558</x:v>
      </x:c>
      <x:c r="L37" s="243">
        <x:v>980</x:v>
      </x:c>
      <x:c r="M37" s="243">
        <x:v>783</x:v>
      </x:c>
      <x:c r="N37" s="243">
        <x:v>588</x:v>
      </x:c>
      <x:c r="O37" s="243">
        <x:v>1004</x:v>
      </x:c>
      <x:c r="P37" s="243">
        <x:v>552</x:v>
      </x:c>
      <x:c r="Q37" s="243">
        <x:v>940</x:v>
      </x:c>
      <x:c r="R37" s="243">
        <x:v>766</x:v>
      </x:c>
      <x:c r="S37" s="243">
        <x:v>777</x:v>
      </x:c>
      <x:c r="T37" s="243">
        <x:v>0</x:v>
      </x:c>
      <x:c r="U37" s="243">
        <x:v>0</x:v>
      </x:c>
      <x:c r="V37" s="64">
        <x:f t="shared" si="1"/>
        <x:v>7013</x:v>
      </x:c>
      <x:c r="W37" s="1046"/>
      <x:c r="X37" s="838">
        <x:v>7013</x:v>
      </x:c>
      <x:c r="Y37" s="839">
        <x:f t="shared" si="0"/>
        <x:v>0</x:v>
      </x:c>
      <x:c r="Z37" s="1134">
        <x:v>7013</x:v>
      </x:c>
      <x:c r="AA37" s="837">
        <x:f t="shared" si="2"/>
        <x:v>7013</x:v>
      </x:c>
    </x:row>
    <x:row r="38" spans="1:27" s="48" customFormat="1">
      <x:c r="A38" s="58"/>
      <x:c r="B38" s="70"/>
      <x:c r="C38" s="240" t="s">
        <x:v>332</x:v>
      </x:c>
      <x:c r="D38" s="240"/>
      <x:c r="E38" s="240"/>
      <x:c r="F38" s="240" t="s">
        <x:v>361</x:v>
      </x:c>
      <x:c r="G38" s="241" t="s">
        <x:v>1043</x:v>
      </x:c>
      <x:c r="H38" s="240">
        <x:v>1</x:v>
      </x:c>
      <x:c r="I38" s="240" t="s">
        <x:v>1089</x:v>
      </x:c>
      <x:c r="J38" s="242">
        <x:v>65</x:v>
      </x:c>
      <x:c r="K38" s="243">
        <x:v>558</x:v>
      </x:c>
      <x:c r="L38" s="243">
        <x:v>980</x:v>
      </x:c>
      <x:c r="M38" s="243">
        <x:v>783</x:v>
      </x:c>
      <x:c r="N38" s="243">
        <x:v>588</x:v>
      </x:c>
      <x:c r="O38" s="243">
        <x:v>1004</x:v>
      </x:c>
      <x:c r="P38" s="243">
        <x:v>552</x:v>
      </x:c>
      <x:c r="Q38" s="243">
        <x:v>940</x:v>
      </x:c>
      <x:c r="R38" s="243">
        <x:v>766</x:v>
      </x:c>
      <x:c r="S38" s="243">
        <x:v>777</x:v>
      </x:c>
      <x:c r="T38" s="243">
        <x:v>0</x:v>
      </x:c>
      <x:c r="U38" s="243">
        <x:v>0</x:v>
      </x:c>
      <x:c r="V38" s="64">
        <x:f t="shared" si="1"/>
        <x:v>7013</x:v>
      </x:c>
      <x:c r="W38" s="1046"/>
      <x:c r="X38" s="838">
        <x:v>7013</x:v>
      </x:c>
      <x:c r="Y38" s="839">
        <x:f t="shared" si="0"/>
        <x:v>0</x:v>
      </x:c>
      <x:c r="Z38" s="1134">
        <x:v>7013</x:v>
      </x:c>
      <x:c r="AA38" s="837">
        <x:f t="shared" si="2"/>
        <x:v>7013</x:v>
      </x:c>
    </x:row>
    <x:row r="39" spans="1:27" s="48" customFormat="1">
      <x:c r="A39" s="58"/>
      <x:c r="B39" s="70"/>
      <x:c r="C39" s="240" t="s">
        <x:v>332</x:v>
      </x:c>
      <x:c r="D39" s="235"/>
      <x:c r="E39" s="235"/>
      <x:c r="F39" s="235" t="s">
        <x:v>362</x:v>
      </x:c>
      <x:c r="G39" s="236" t="s">
        <x:v>1044</x:v>
      </x:c>
      <x:c r="H39" s="235">
        <x:v>1</x:v>
      </x:c>
      <x:c r="I39" s="235" t="s">
        <x:v>1089</x:v>
      </x:c>
      <x:c r="J39" s="242">
        <x:v>65</x:v>
      </x:c>
      <x:c r="K39" s="243">
        <x:v>558</x:v>
      </x:c>
      <x:c r="L39" s="243">
        <x:v>980</x:v>
      </x:c>
      <x:c r="M39" s="243">
        <x:v>783</x:v>
      </x:c>
      <x:c r="N39" s="243">
        <x:v>588</x:v>
      </x:c>
      <x:c r="O39" s="243">
        <x:v>1004</x:v>
      </x:c>
      <x:c r="P39" s="243">
        <x:v>552</x:v>
      </x:c>
      <x:c r="Q39" s="243">
        <x:v>940</x:v>
      </x:c>
      <x:c r="R39" s="243">
        <x:v>766</x:v>
      </x:c>
      <x:c r="S39" s="243">
        <x:v>777</x:v>
      </x:c>
      <x:c r="T39" s="243">
        <x:v>0</x:v>
      </x:c>
      <x:c r="U39" s="243">
        <x:v>0</x:v>
      </x:c>
      <x:c r="V39" s="65">
        <x:f t="shared" si="1"/>
        <x:v>7013</x:v>
      </x:c>
      <x:c r="W39" s="1046"/>
      <x:c r="X39" s="838">
        <x:v>7013</x:v>
      </x:c>
      <x:c r="Y39" s="839">
        <x:f t="shared" si="0"/>
        <x:v>0</x:v>
      </x:c>
      <x:c r="Z39" s="1134">
        <x:v>7013</x:v>
      </x:c>
      <x:c r="AA39" s="837">
        <x:f t="shared" si="2"/>
        <x:v>7013</x:v>
      </x:c>
    </x:row>
    <x:row r="40" spans="1:27" s="48" customFormat="1" ht="17.25" thickBot="1">
      <x:c r="A40" s="76"/>
      <x:c r="B40" s="361"/>
      <x:c r="C40" s="340" t="s">
        <x:v>332</x:v>
      </x:c>
      <x:c r="D40" s="340"/>
      <x:c r="E40" s="340"/>
      <x:c r="F40" s="340" t="s">
        <x:v>351</x:v>
      </x:c>
      <x:c r="G40" s="341" t="s">
        <x:v>352</x:v>
      </x:c>
      <x:c r="H40" s="340">
        <x:v>1</x:v>
      </x:c>
      <x:c r="I40" s="340" t="s">
        <x:v>1089</x:v>
      </x:c>
      <x:c r="J40" s="342">
        <x:v>65</x:v>
      </x:c>
      <x:c r="K40" s="343">
        <x:v>558</x:v>
      </x:c>
      <x:c r="L40" s="343">
        <x:v>980</x:v>
      </x:c>
      <x:c r="M40" s="343">
        <x:v>783</x:v>
      </x:c>
      <x:c r="N40" s="343">
        <x:v>588</x:v>
      </x:c>
      <x:c r="O40" s="343">
        <x:v>1004</x:v>
      </x:c>
      <x:c r="P40" s="343">
        <x:v>552</x:v>
      </x:c>
      <x:c r="Q40" s="343">
        <x:v>940</x:v>
      </x:c>
      <x:c r="R40" s="343">
        <x:v>766</x:v>
      </x:c>
      <x:c r="S40" s="343">
        <x:v>777</x:v>
      </x:c>
      <x:c r="T40" s="343"/>
      <x:c r="U40" s="343"/>
      <x:c r="V40" s="344">
        <x:f t="shared" si="1"/>
        <x:v>7013</x:v>
      </x:c>
      <x:c r="W40" s="1047"/>
      <x:c r="X40" s="838">
        <x:v>7013</x:v>
      </x:c>
      <x:c r="Y40" s="839">
        <x:f t="shared" si="0"/>
        <x:v>0</x:v>
      </x:c>
      <x:c r="Z40" s="1134">
        <x:v>7013</x:v>
      </x:c>
      <x:c r="AA40" s="837">
        <x:f t="shared" si="2"/>
        <x:v>7013</x:v>
      </x:c>
    </x:row>
    <x:row r="41" spans="1:27" s="48" customFormat="1" ht="13.5">
      <x:c r="A41" s="76"/>
      <x:c r="B41" s="70" t="s">
        <x:v>367</x:v>
      </x:c>
      <x:c r="C41" s="67" t="s">
        <x:v>332</x:v>
      </x:c>
      <x:c r="D41" s="67"/>
      <x:c r="E41" s="67"/>
      <x:c r="F41" s="67" t="s">
        <x:v>368</x:v>
      </x:c>
      <x:c r="G41" s="68" t="s">
        <x:v>369</x:v>
      </x:c>
      <x:c r="H41" s="67">
        <x:v>2</x:v>
      </x:c>
      <x:c r="I41" s="67" t="s">
        <x:v>1089</x:v>
      </x:c>
      <x:c r="J41" s="239">
        <x:v>6912</x:v>
      </x:c>
      <x:c r="K41" s="63">
        <x:v>10368</x:v>
      </x:c>
      <x:c r="L41" s="1141"/>
      <x:c r="M41" s="1141"/>
      <x:c r="N41" s="1141"/>
      <x:c r="O41" s="1141"/>
      <x:c r="P41" s="1141"/>
      <x:c r="Q41" s="1141"/>
      <x:c r="R41" s="1141"/>
      <x:c r="S41" s="1141"/>
      <x:c r="T41" s="1141"/>
      <x:c r="U41" s="1141"/>
      <x:c r="V41" s="77">
        <x:f t="shared" si="1"/>
        <x:v>17280</x:v>
      </x:c>
      <x:c r="W41" s="1052" t="s">
        <x:v>1523</x:v>
      </x:c>
      <x:c r="X41" s="838">
        <x:v>100210</x:v>
      </x:c>
      <x:c r="Y41" s="839">
        <x:f t="shared" si="0"/>
        <x:v>-82930</x:v>
      </x:c>
      <x:c r="Z41" s="48">
        <x:v>8640</x:v>
      </x:c>
      <x:c r="AA41" s="837">
        <x:f t="shared" si="2"/>
        <x:v>17280</x:v>
      </x:c>
    </x:row>
    <x:row r="42" spans="1:27" s="48" customFormat="1" ht="13.5">
      <x:c r="A42" s="76"/>
      <x:c r="B42" s="70"/>
      <x:c r="C42" s="1165" t="s">
        <x:v>332</x:v>
      </x:c>
      <x:c r="D42" s="1135"/>
      <x:c r="E42" s="1135"/>
      <x:c r="F42" s="1135" t="str">
        <x:f>F41</x:f>
        <x:v>BUS BAR ASY - ARRAY 4 POS TO ARRAY 5 NEG</x:v>
      </x:c>
      <x:c r="G42" s="1136" t="s">
        <x:v>369</x:v>
      </x:c>
      <x:c r="H42" s="1135">
        <x:v>1</x:v>
      </x:c>
      <x:c r="I42" s="1135" t="str">
        <x:f>+I41</x:f>
        <x:v>터키 현지 외주</x:v>
      </x:c>
      <x:c r="J42" s="1137"/>
      <x:c r="K42" s="1138"/>
      <x:c r="L42" s="1138">
        <x:v>4032</x:v>
      </x:c>
      <x:c r="M42" s="1138">
        <x:v>3456</x:v>
      </x:c>
      <x:c r="N42" s="1138">
        <x:v>4608</x:v>
      </x:c>
      <x:c r="O42" s="1138">
        <x:v>5184</x:v>
      </x:c>
      <x:c r="P42" s="1138">
        <x:v>3456</x:v>
      </x:c>
      <x:c r="Q42" s="1138">
        <x:v>4608</x:v>
      </x:c>
      <x:c r="R42" s="1138">
        <x:v>4608</x:v>
      </x:c>
      <x:c r="S42" s="1138">
        <x:v>3062</x:v>
      </x:c>
      <x:c r="T42" s="1138">
        <x:v>4255</x:v>
      </x:c>
      <x:c r="U42" s="1138">
        <x:v>4196</x:v>
      </x:c>
      <x:c r="V42" s="77">
        <x:f t="shared" si="1"/>
        <x:v>41465</x:v>
      </x:c>
      <x:c r="W42" s="1052"/>
      <x:c r="X42" s="1139"/>
      <x:c r="Y42" s="1140"/>
      <x:c r="Z42" s="48">
        <x:v>41465</x:v>
      </x:c>
      <x:c r="AA42" s="837">
        <x:f t="shared" ref="AA42" si="3">+Z42*H42</x:f>
        <x:v>41465</x:v>
      </x:c>
    </x:row>
    <x:row r="43" spans="1:27" s="48" customFormat="1" ht="13.5">
      <x:c r="A43" s="76"/>
      <x:c r="B43" s="70"/>
      <x:c r="C43" s="1165" t="s">
        <x:v>332</x:v>
      </x:c>
      <x:c r="D43" s="1135"/>
      <x:c r="E43" s="1135"/>
      <x:c r="F43" s="1135" t="str">
        <x:f>F42</x:f>
        <x:v>BUS BAR ASY - ARRAY 4 POS TO ARRAY 5 NEG</x:v>
      </x:c>
      <x:c r="G43" s="1136" t="s">
        <x:v>1517</x:v>
      </x:c>
      <x:c r="H43" s="1135">
        <x:v>1</x:v>
      </x:c>
      <x:c r="I43" s="1135" t="str">
        <x:f>+I42</x:f>
        <x:v>터키 현지 외주</x:v>
      </x:c>
      <x:c r="J43" s="1137"/>
      <x:c r="K43" s="1138"/>
      <x:c r="L43" s="1138">
        <x:v>4032</x:v>
      </x:c>
      <x:c r="M43" s="1138">
        <x:v>3456</x:v>
      </x:c>
      <x:c r="N43" s="1138">
        <x:v>4608</x:v>
      </x:c>
      <x:c r="O43" s="1138">
        <x:v>5184</x:v>
      </x:c>
      <x:c r="P43" s="1138">
        <x:v>3456</x:v>
      </x:c>
      <x:c r="Q43" s="1138">
        <x:v>4608</x:v>
      </x:c>
      <x:c r="R43" s="1138">
        <x:v>4608</x:v>
      </x:c>
      <x:c r="S43" s="1138">
        <x:v>3062</x:v>
      </x:c>
      <x:c r="T43" s="1138">
        <x:v>4255</x:v>
      </x:c>
      <x:c r="U43" s="1138">
        <x:v>4196</x:v>
      </x:c>
      <x:c r="V43" s="77">
        <x:f t="shared" si="1"/>
        <x:v>41465</x:v>
      </x:c>
      <x:c r="W43" s="1052"/>
      <x:c r="X43" s="1139"/>
      <x:c r="Y43" s="1140"/>
      <x:c r="Z43" s="48">
        <x:v>41465</x:v>
      </x:c>
      <x:c r="AA43" s="837">
        <x:f t="shared" si="2"/>
        <x:v>41465</x:v>
      </x:c>
    </x:row>
    <x:row r="44" spans="1:27" s="48" customFormat="1" ht="13.5">
      <x:c r="A44" s="76"/>
      <x:c r="B44" s="70"/>
      <x:c r="C44" s="235" t="s">
        <x:v>332</x:v>
      </x:c>
      <x:c r="D44" s="235"/>
      <x:c r="E44" s="235"/>
      <x:c r="F44" s="235" t="s">
        <x:v>370</x:v>
      </x:c>
      <x:c r="G44" s="236" t="s">
        <x:v>371</x:v>
      </x:c>
      <x:c r="H44" s="235">
        <x:v>2</x:v>
      </x:c>
      <x:c r="I44" s="235" t="s">
        <x:v>1089</x:v>
      </x:c>
      <x:c r="J44" s="239">
        <x:v>6912</x:v>
      </x:c>
      <x:c r="K44" s="63">
        <x:v>10368</x:v>
      </x:c>
      <x:c r="L44" s="1148"/>
      <x:c r="M44" s="1148"/>
      <x:c r="N44" s="1148"/>
      <x:c r="O44" s="1148"/>
      <x:c r="P44" s="1148"/>
      <x:c r="Q44" s="1148"/>
      <x:c r="R44" s="1148"/>
      <x:c r="S44" s="1148"/>
      <x:c r="T44" s="1148"/>
      <x:c r="U44" s="1148"/>
      <x:c r="V44" s="65">
        <x:f t="shared" si="1"/>
        <x:v>17280</x:v>
      </x:c>
      <x:c r="W44" s="1046" t="s">
        <x:v>1523</x:v>
      </x:c>
      <x:c r="X44" s="838">
        <x:v>100210</x:v>
      </x:c>
      <x:c r="Y44" s="839">
        <x:f t="shared" si="0"/>
        <x:v>-82930</x:v>
      </x:c>
      <x:c r="Z44" s="48">
        <x:v>8640</x:v>
      </x:c>
      <x:c r="AA44" s="837">
        <x:f t="shared" si="2"/>
        <x:v>17280</x:v>
      </x:c>
    </x:row>
    <x:row r="45" spans="1:27" s="48" customFormat="1" ht="13.5">
      <x:c r="A45" s="76"/>
      <x:c r="B45" s="70"/>
      <x:c r="C45" s="1165" t="s">
        <x:v>332</x:v>
      </x:c>
      <x:c r="D45" s="1143"/>
      <x:c r="E45" s="1143"/>
      <x:c r="F45" s="1143" t="str">
        <x:f>+F44</x:f>
        <x:v>BUS BAR ASY – COMMON BUSBAR ARRAY 3-2, 2-1</x:v>
      </x:c>
      <x:c r="G45" s="1144" t="s">
        <x:v>1518</x:v>
      </x:c>
      <x:c r="H45" s="1143">
        <x:v>2</x:v>
      </x:c>
      <x:c r="I45" s="1143" t="str">
        <x:f>+I44</x:f>
        <x:v>터키 현지 외주</x:v>
      </x:c>
      <x:c r="J45" s="1145"/>
      <x:c r="K45" s="1146"/>
      <x:c r="L45" s="1146">
        <x:v>8064</x:v>
      </x:c>
      <x:c r="M45" s="1146">
        <x:v>6912</x:v>
      </x:c>
      <x:c r="N45" s="1146">
        <x:v>9216</x:v>
      </x:c>
      <x:c r="O45" s="1146">
        <x:v>10368</x:v>
      </x:c>
      <x:c r="P45" s="1146">
        <x:v>6912</x:v>
      </x:c>
      <x:c r="Q45" s="1146">
        <x:v>9216</x:v>
      </x:c>
      <x:c r="R45" s="1146">
        <x:v>9216</x:v>
      </x:c>
      <x:c r="S45" s="1146">
        <x:v>6124</x:v>
      </x:c>
      <x:c r="T45" s="1146">
        <x:v>8510</x:v>
      </x:c>
      <x:c r="U45" s="1146">
        <x:v>8392</x:v>
      </x:c>
      <x:c r="V45" s="65">
        <x:f t="shared" si="1"/>
        <x:v>82930</x:v>
      </x:c>
      <x:c r="W45" s="1046"/>
      <x:c r="X45" s="1139"/>
      <x:c r="Y45" s="1140"/>
      <x:c r="Z45" s="48">
        <x:v>41465</x:v>
      </x:c>
      <x:c r="AA45" s="837">
        <x:f t="shared" si="2"/>
        <x:v>82930</x:v>
      </x:c>
    </x:row>
    <x:row r="46" spans="1:27" s="48" customFormat="1" ht="13.5">
      <x:c r="A46" s="76"/>
      <x:c r="B46" s="70"/>
      <x:c r="C46" s="1143" t="s">
        <x:v>332</x:v>
      </x:c>
      <x:c r="D46" s="1143"/>
      <x:c r="E46" s="1153"/>
      <x:c r="F46" s="1154" t="s">
        <x:v>372</x:v>
      </x:c>
      <x:c r="G46" s="1144" t="s">
        <x:v>373</x:v>
      </x:c>
      <x:c r="H46" s="1155">
        <x:v>1</x:v>
      </x:c>
      <x:c r="I46" s="1143" t="s">
        <x:v>1089</x:v>
      </x:c>
      <x:c r="J46" s="1145">
        <x:v>3456</x:v>
      </x:c>
      <x:c r="K46" s="1146">
        <x:v>5184</x:v>
      </x:c>
      <x:c r="L46" s="1156"/>
      <x:c r="M46" s="1156"/>
      <x:c r="N46" s="1156"/>
      <x:c r="O46" s="1156"/>
      <x:c r="P46" s="1156"/>
      <x:c r="Q46" s="1156"/>
      <x:c r="R46" s="1156"/>
      <x:c r="S46" s="1156"/>
      <x:c r="T46" s="1156"/>
      <x:c r="U46" s="1156"/>
      <x:c r="V46" s="1147">
        <x:f t="shared" si="1"/>
        <x:v>8640</x:v>
      </x:c>
      <x:c r="W46" s="1046" t="s">
        <x:v>1523</x:v>
      </x:c>
      <x:c r="X46" s="838">
        <x:v>50105</x:v>
      </x:c>
      <x:c r="Y46" s="839">
        <x:f t="shared" si="0"/>
        <x:v>-41465</x:v>
      </x:c>
      <x:c r="Z46" s="48">
        <x:v>8640</x:v>
      </x:c>
      <x:c r="AA46" s="837">
        <x:f t="shared" si="2"/>
        <x:v>8640</x:v>
      </x:c>
    </x:row>
    <x:row r="47" spans="1:27" s="48" customFormat="1" ht="13.5">
      <x:c r="A47" s="76"/>
      <x:c r="B47" s="70"/>
      <x:c r="C47" s="1165" t="s">
        <x:v>332</x:v>
      </x:c>
      <x:c r="D47" s="61"/>
      <x:c r="E47" s="71"/>
      <x:c r="F47" s="72" t="str">
        <x:f>+F46</x:f>
        <x:v>BUS BAR ASY – POS BEC TO ARRAY 6 POS </x:v>
      </x:c>
      <x:c r="G47" s="62" t="s">
        <x:v>1519</x:v>
      </x:c>
      <x:c r="H47" s="73">
        <x:v>1</x:v>
      </x:c>
      <x:c r="I47" s="61" t="str">
        <x:f>+I46</x:f>
        <x:v>터키 현지 외주</x:v>
      </x:c>
      <x:c r="J47" s="1137"/>
      <x:c r="K47" s="1138"/>
      <x:c r="L47" s="1138">
        <x:v>4032</x:v>
      </x:c>
      <x:c r="M47" s="1138">
        <x:v>3456</x:v>
      </x:c>
      <x:c r="N47" s="1138">
        <x:v>4608</x:v>
      </x:c>
      <x:c r="O47" s="1138">
        <x:v>5184</x:v>
      </x:c>
      <x:c r="P47" s="1138">
        <x:v>3456</x:v>
      </x:c>
      <x:c r="Q47" s="1138">
        <x:v>4608</x:v>
      </x:c>
      <x:c r="R47" s="1138">
        <x:v>4608</x:v>
      </x:c>
      <x:c r="S47" s="1138">
        <x:v>3062</x:v>
      </x:c>
      <x:c r="T47" s="1138">
        <x:v>4255</x:v>
      </x:c>
      <x:c r="U47" s="1138">
        <x:v>4196</x:v>
      </x:c>
      <x:c r="V47" s="1147">
        <x:f t="shared" si="1"/>
        <x:v>41465</x:v>
      </x:c>
      <x:c r="W47" s="1149"/>
      <x:c r="X47" s="1139"/>
      <x:c r="Y47" s="1140"/>
      <x:c r="Z47" s="48">
        <x:v>41465</x:v>
      </x:c>
      <x:c r="AA47" s="837">
        <x:f t="shared" si="2"/>
        <x:v>41465</x:v>
      </x:c>
    </x:row>
    <x:row r="48" spans="1:27" s="48" customFormat="1" ht="13.5">
      <x:c r="A48" s="76"/>
      <x:c r="B48" s="70"/>
      <x:c r="C48" s="240" t="s">
        <x:v>332</x:v>
      </x:c>
      <x:c r="D48" s="240"/>
      <x:c r="E48" s="244"/>
      <x:c r="F48" s="245" t="s">
        <x:v>374</x:v>
      </x:c>
      <x:c r="G48" s="241" t="s">
        <x:v>375</x:v>
      </x:c>
      <x:c r="H48" s="246">
        <x:v>1</x:v>
      </x:c>
      <x:c r="I48" s="240" t="s">
        <x:v>1089</x:v>
      </x:c>
      <x:c r="J48" s="239">
        <x:v>3456</x:v>
      </x:c>
      <x:c r="K48" s="63">
        <x:v>5184</x:v>
      </x:c>
      <x:c r="L48" s="63">
        <x:v>4032</x:v>
      </x:c>
      <x:c r="M48" s="63">
        <x:v>3456</x:v>
      </x:c>
      <x:c r="N48" s="63">
        <x:v>4608</x:v>
      </x:c>
      <x:c r="O48" s="63">
        <x:v>5184</x:v>
      </x:c>
      <x:c r="P48" s="63">
        <x:v>3456</x:v>
      </x:c>
      <x:c r="Q48" s="63">
        <x:v>4608</x:v>
      </x:c>
      <x:c r="R48" s="63">
        <x:v>4608</x:v>
      </x:c>
      <x:c r="S48" s="63">
        <x:v>3062</x:v>
      </x:c>
      <x:c r="T48" s="63">
        <x:v>4255</x:v>
      </x:c>
      <x:c r="U48" s="63">
        <x:v>4196</x:v>
      </x:c>
      <x:c r="V48" s="64">
        <x:f t="shared" si="1"/>
        <x:v>50105</x:v>
      </x:c>
      <x:c r="W48" s="1053"/>
      <x:c r="X48" s="838">
        <x:v>50105</x:v>
      </x:c>
      <x:c r="Y48" s="839">
        <x:f t="shared" si="0"/>
        <x:v>0</x:v>
      </x:c>
      <x:c r="Z48" s="48">
        <x:v>50105</x:v>
      </x:c>
      <x:c r="AA48" s="837">
        <x:f t="shared" si="2"/>
        <x:v>50105</x:v>
      </x:c>
    </x:row>
    <x:row r="49" spans="1:27" s="48" customFormat="1" ht="13.5">
      <x:c r="A49" s="76"/>
      <x:c r="B49" s="70"/>
      <x:c r="C49" s="240" t="s">
        <x:v>332</x:v>
      </x:c>
      <x:c r="D49" s="235"/>
      <x:c r="E49" s="244"/>
      <x:c r="F49" s="245" t="s">
        <x:v>376</x:v>
      </x:c>
      <x:c r="G49" s="241" t="s">
        <x:v>377</x:v>
      </x:c>
      <x:c r="H49" s="246">
        <x:v>1</x:v>
      </x:c>
      <x:c r="I49" s="240" t="s">
        <x:v>1089</x:v>
      </x:c>
      <x:c r="J49" s="239">
        <x:v>3456</x:v>
      </x:c>
      <x:c r="K49" s="63">
        <x:v>5184</x:v>
      </x:c>
      <x:c r="L49" s="63">
        <x:v>4032</x:v>
      </x:c>
      <x:c r="M49" s="63">
        <x:v>3456</x:v>
      </x:c>
      <x:c r="N49" s="63">
        <x:v>4608</x:v>
      </x:c>
      <x:c r="O49" s="63">
        <x:v>5184</x:v>
      </x:c>
      <x:c r="P49" s="63">
        <x:v>3456</x:v>
      </x:c>
      <x:c r="Q49" s="63">
        <x:v>4608</x:v>
      </x:c>
      <x:c r="R49" s="63">
        <x:v>4608</x:v>
      </x:c>
      <x:c r="S49" s="63">
        <x:v>3062</x:v>
      </x:c>
      <x:c r="T49" s="63">
        <x:v>4255</x:v>
      </x:c>
      <x:c r="U49" s="63">
        <x:v>4196</x:v>
      </x:c>
      <x:c r="V49" s="64">
        <x:f t="shared" si="1"/>
        <x:v>50105</x:v>
      </x:c>
      <x:c r="W49" s="1053"/>
      <x:c r="X49" s="838">
        <x:v>50105</x:v>
      </x:c>
      <x:c r="Y49" s="839">
        <x:f t="shared" si="0"/>
        <x:v>0</x:v>
      </x:c>
      <x:c r="Z49" s="48">
        <x:v>50105</x:v>
      </x:c>
      <x:c r="AA49" s="837">
        <x:f t="shared" si="2"/>
        <x:v>50105</x:v>
      </x:c>
    </x:row>
    <x:row r="50" spans="1:27" s="48" customFormat="1" ht="13.5">
      <x:c r="A50" s="76"/>
      <x:c r="B50" s="70"/>
      <x:c r="C50" s="240" t="s">
        <x:v>332</x:v>
      </x:c>
      <x:c r="D50" s="240"/>
      <x:c r="E50" s="240"/>
      <x:c r="F50" s="240" t="s">
        <x:v>378</x:v>
      </x:c>
      <x:c r="G50" s="241" t="s">
        <x:v>379</x:v>
      </x:c>
      <x:c r="H50" s="246">
        <x:v>1</x:v>
      </x:c>
      <x:c r="I50" s="1143" t="s">
        <x:v>1089</x:v>
      </x:c>
      <x:c r="J50" s="239">
        <x:v>3456</x:v>
      </x:c>
      <x:c r="K50" s="63">
        <x:v>5184</x:v>
      </x:c>
      <x:c r="L50" s="1148"/>
      <x:c r="M50" s="1148"/>
      <x:c r="N50" s="1148"/>
      <x:c r="O50" s="1148"/>
      <x:c r="P50" s="1148"/>
      <x:c r="Q50" s="1148"/>
      <x:c r="R50" s="1148"/>
      <x:c r="S50" s="1148"/>
      <x:c r="T50" s="1148"/>
      <x:c r="U50" s="1148"/>
      <x:c r="V50" s="65">
        <x:f t="shared" si="1"/>
        <x:v>8640</x:v>
      </x:c>
      <x:c r="W50" s="1046" t="s">
        <x:v>1523</x:v>
      </x:c>
      <x:c r="X50" s="838">
        <x:v>50105</x:v>
      </x:c>
      <x:c r="Y50" s="839">
        <x:f t="shared" si="0"/>
        <x:v>-41465</x:v>
      </x:c>
      <x:c r="Z50" s="48">
        <x:v>8640</x:v>
      </x:c>
      <x:c r="AA50" s="837">
        <x:f t="shared" si="2"/>
        <x:v>8640</x:v>
      </x:c>
    </x:row>
    <x:row r="51" spans="1:27" s="48" customFormat="1" ht="13.5">
      <x:c r="A51" s="76"/>
      <x:c r="B51" s="70"/>
      <x:c r="C51" s="1165" t="s">
        <x:v>332</x:v>
      </x:c>
      <x:c r="D51" s="1142"/>
      <x:c r="E51" s="1142"/>
      <x:c r="F51" s="1142" t="str">
        <x:f>+F50</x:f>
        <x:v>BUS BAR ASY – ARRAY 1 NEG TO NEG BEC</x:v>
      </x:c>
      <x:c r="G51" s="1150" t="s">
        <x:v>1520</x:v>
      </x:c>
      <x:c r="H51" s="1151">
        <x:v>1</x:v>
      </x:c>
      <x:c r="I51" s="61" t="str">
        <x:f>+I50</x:f>
        <x:v>터키 현지 외주</x:v>
      </x:c>
      <x:c r="J51" s="1137"/>
      <x:c r="K51" s="1138"/>
      <x:c r="L51" s="1138">
        <x:v>4032</x:v>
      </x:c>
      <x:c r="M51" s="1138">
        <x:v>3456</x:v>
      </x:c>
      <x:c r="N51" s="1138">
        <x:v>4608</x:v>
      </x:c>
      <x:c r="O51" s="1138">
        <x:v>5184</x:v>
      </x:c>
      <x:c r="P51" s="1138">
        <x:v>3456</x:v>
      </x:c>
      <x:c r="Q51" s="1138">
        <x:v>4608</x:v>
      </x:c>
      <x:c r="R51" s="1138">
        <x:v>4608</x:v>
      </x:c>
      <x:c r="S51" s="1138">
        <x:v>3062</x:v>
      </x:c>
      <x:c r="T51" s="1138">
        <x:v>4255</x:v>
      </x:c>
      <x:c r="U51" s="1138">
        <x:v>4196</x:v>
      </x:c>
      <x:c r="V51" s="65">
        <x:f t="shared" si="1"/>
        <x:v>41465</x:v>
      </x:c>
      <x:c r="W51" s="1152"/>
      <x:c r="X51" s="1139"/>
      <x:c r="Y51" s="1140"/>
      <x:c r="Z51" s="48">
        <x:v>41465</x:v>
      </x:c>
      <x:c r="AA51" s="837">
        <x:f t="shared" ref="AA51" si="4">+Z51*H51</x:f>
        <x:v>41465</x:v>
      </x:c>
    </x:row>
    <x:row r="52" spans="1:27" s="48" customFormat="1" ht="13.5">
      <x:c r="A52" s="76"/>
      <x:c r="B52" s="70"/>
      <x:c r="C52" s="240" t="s">
        <x:v>332</x:v>
      </x:c>
      <x:c r="D52" s="235"/>
      <x:c r="E52" s="235"/>
      <x:c r="F52" s="235" t="s">
        <x:v>380</x:v>
      </x:c>
      <x:c r="G52" s="236" t="s">
        <x:v>381</x:v>
      </x:c>
      <x:c r="H52" s="246">
        <x:v>1</x:v>
      </x:c>
      <x:c r="I52" s="235" t="s">
        <x:v>1089</x:v>
      </x:c>
      <x:c r="J52" s="239">
        <x:v>3456</x:v>
      </x:c>
      <x:c r="K52" s="63">
        <x:v>5184</x:v>
      </x:c>
      <x:c r="L52" s="63">
        <x:v>4032</x:v>
      </x:c>
      <x:c r="M52" s="63">
        <x:v>3456</x:v>
      </x:c>
      <x:c r="N52" s="63">
        <x:v>4608</x:v>
      </x:c>
      <x:c r="O52" s="63">
        <x:v>5184</x:v>
      </x:c>
      <x:c r="P52" s="63">
        <x:v>3456</x:v>
      </x:c>
      <x:c r="Q52" s="63">
        <x:v>4608</x:v>
      </x:c>
      <x:c r="R52" s="63">
        <x:v>4608</x:v>
      </x:c>
      <x:c r="S52" s="63">
        <x:v>3062</x:v>
      </x:c>
      <x:c r="T52" s="63">
        <x:v>4255</x:v>
      </x:c>
      <x:c r="U52" s="63">
        <x:v>4196</x:v>
      </x:c>
      <x:c r="V52" s="65">
        <x:f t="shared" si="1"/>
        <x:v>50105</x:v>
      </x:c>
      <x:c r="W52" s="1055"/>
      <x:c r="X52" s="838">
        <x:v>50105</x:v>
      </x:c>
      <x:c r="Y52" s="839">
        <x:f t="shared" si="0"/>
        <x:v>0</x:v>
      </x:c>
      <x:c r="Z52" s="48">
        <x:v>50105</x:v>
      </x:c>
      <x:c r="AA52" s="837">
        <x:f t="shared" si="2"/>
        <x:v>50105</x:v>
      </x:c>
    </x:row>
    <x:row r="53" spans="1:27" s="48" customFormat="1" ht="14.25" thickBot="1">
      <x:c r="A53" s="76"/>
      <x:c r="B53" s="70"/>
      <x:c r="C53" s="235" t="s">
        <x:v>332</x:v>
      </x:c>
      <x:c r="D53" s="240"/>
      <x:c r="E53" s="244"/>
      <x:c r="F53" s="245" t="s">
        <x:v>382</x:v>
      </x:c>
      <x:c r="G53" s="241" t="s">
        <x:v>383</x:v>
      </x:c>
      <x:c r="H53" s="246">
        <x:v>1</x:v>
      </x:c>
      <x:c r="I53" s="240" t="s">
        <x:v>1089</x:v>
      </x:c>
      <x:c r="J53" s="369">
        <x:v>3456</x:v>
      </x:c>
      <x:c r="K53" s="370">
        <x:v>5184</x:v>
      </x:c>
      <x:c r="L53" s="370">
        <x:v>4032</x:v>
      </x:c>
      <x:c r="M53" s="370">
        <x:v>3456</x:v>
      </x:c>
      <x:c r="N53" s="370">
        <x:v>4608</x:v>
      </x:c>
      <x:c r="O53" s="370">
        <x:v>5184</x:v>
      </x:c>
      <x:c r="P53" s="370">
        <x:v>3456</x:v>
      </x:c>
      <x:c r="Q53" s="370">
        <x:v>4608</x:v>
      </x:c>
      <x:c r="R53" s="370">
        <x:v>4608</x:v>
      </x:c>
      <x:c r="S53" s="370">
        <x:v>3062</x:v>
      </x:c>
      <x:c r="T53" s="370">
        <x:v>4255</x:v>
      </x:c>
      <x:c r="U53" s="370">
        <x:v>4196</x:v>
      </x:c>
      <x:c r="V53" s="64">
        <x:f t="shared" si="1"/>
        <x:v>50105</x:v>
      </x:c>
      <x:c r="W53" s="1056"/>
      <x:c r="X53" s="838">
        <x:v>50105</x:v>
      </x:c>
      <x:c r="Y53" s="839">
        <x:f t="shared" si="0"/>
        <x:v>0</x:v>
      </x:c>
      <x:c r="Z53" s="48">
        <x:v>50105</x:v>
      </x:c>
      <x:c r="AA53" s="837">
        <x:f t="shared" si="2"/>
        <x:v>50105</x:v>
      </x:c>
    </x:row>
    <x:row r="54" spans="1:27" s="48" customFormat="1" ht="13.5">
      <x:c r="A54" s="76"/>
      <x:c r="B54" s="345" t="s">
        <x:v>384</x:v>
      </x:c>
      <x:c r="C54" s="375"/>
      <x:c r="D54" s="356" t="s">
        <x:v>332</x:v>
      </x:c>
      <x:c r="E54" s="376"/>
      <x:c r="F54" s="377" t="s">
        <x:v>385</x:v>
      </x:c>
      <x:c r="G54" s="357" t="s">
        <x:v>386</x:v>
      </x:c>
      <x:c r="H54" s="378">
        <x:v>1</x:v>
      </x:c>
      <x:c r="I54" s="356" t="s">
        <x:v>387</x:v>
      </x:c>
      <x:c r="J54" s="362">
        <x:v>3456</x:v>
      </x:c>
      <x:c r="K54" s="362">
        <x:v>5184</x:v>
      </x:c>
      <x:c r="L54" s="362">
        <x:v>4032</x:v>
      </x:c>
      <x:c r="M54" s="362">
        <x:v>3456</x:v>
      </x:c>
      <x:c r="N54" s="362">
        <x:v>4608</x:v>
      </x:c>
      <x:c r="O54" s="362">
        <x:v>5184</x:v>
      </x:c>
      <x:c r="P54" s="362">
        <x:v>3456</x:v>
      </x:c>
      <x:c r="Q54" s="362">
        <x:v>4608</x:v>
      </x:c>
      <x:c r="R54" s="362">
        <x:v>4608</x:v>
      </x:c>
      <x:c r="S54" s="362">
        <x:v>3062</x:v>
      </x:c>
      <x:c r="T54" s="362">
        <x:v>4255</x:v>
      </x:c>
      <x:c r="U54" s="362">
        <x:v>4196</x:v>
      </x:c>
      <x:c r="V54" s="363">
        <x:f t="shared" si="1"/>
        <x:v>50105</x:v>
      </x:c>
      <x:c r="W54" s="1057"/>
      <x:c r="X54" s="838">
        <x:v>0</x:v>
      </x:c>
      <x:c r="Y54" s="839" t="s">
        <x:v>1274</x:v>
      </x:c>
      <x:c r="Z54" s="48" t="e">
        <x:v>#N/A</x:v>
      </x:c>
      <x:c r="AA54" s="837" t="e">
        <x:f t="shared" si="2"/>
        <x:v>#N/A</x:v>
      </x:c>
    </x:row>
    <x:row r="55" spans="1:27" s="48" customFormat="1" ht="13.5">
      <x:c r="A55" s="76"/>
      <x:c r="B55" s="70" t="s">
        <x:v>388</x:v>
      </x:c>
      <x:c r="C55" s="240"/>
      <x:c r="D55" s="235" t="s">
        <x:v>332</x:v>
      </x:c>
      <x:c r="E55" s="247"/>
      <x:c r="F55" s="248" t="s">
        <x:v>389</x:v>
      </x:c>
      <x:c r="G55" s="236" t="s">
        <x:v>390</x:v>
      </x:c>
      <x:c r="H55" s="246">
        <x:v>1</x:v>
      </x:c>
      <x:c r="I55" s="235" t="s">
        <x:v>387</x:v>
      </x:c>
      <x:c r="J55" s="239">
        <x:v>3456</x:v>
      </x:c>
      <x:c r="K55" s="239">
        <x:v>5184</x:v>
      </x:c>
      <x:c r="L55" s="239">
        <x:v>4032</x:v>
      </x:c>
      <x:c r="M55" s="239">
        <x:v>3456</x:v>
      </x:c>
      <x:c r="N55" s="239">
        <x:v>4608</x:v>
      </x:c>
      <x:c r="O55" s="239">
        <x:v>5184</x:v>
      </x:c>
      <x:c r="P55" s="239">
        <x:v>3456</x:v>
      </x:c>
      <x:c r="Q55" s="239">
        <x:v>4608</x:v>
      </x:c>
      <x:c r="R55" s="239">
        <x:v>4608</x:v>
      </x:c>
      <x:c r="S55" s="239">
        <x:v>3062</x:v>
      </x:c>
      <x:c r="T55" s="239">
        <x:v>4255</x:v>
      </x:c>
      <x:c r="U55" s="239">
        <x:v>4196</x:v>
      </x:c>
      <x:c r="V55" s="77">
        <x:f t="shared" si="1"/>
        <x:v>50105</x:v>
      </x:c>
      <x:c r="W55" s="1058"/>
      <x:c r="X55" s="838">
        <x:v>0</x:v>
      </x:c>
      <x:c r="Y55" s="839" t="s">
        <x:v>1274</x:v>
      </x:c>
      <x:c r="Z55" s="48" t="e">
        <x:v>#N/A</x:v>
      </x:c>
      <x:c r="AA55" s="837" t="e">
        <x:f t="shared" si="2"/>
        <x:v>#N/A</x:v>
      </x:c>
    </x:row>
    <x:row r="56" spans="1:27" s="48" customFormat="1" ht="14.25" thickBot="1">
      <x:c r="A56" s="76"/>
      <x:c r="B56" s="361"/>
      <x:c r="C56" s="340"/>
      <x:c r="D56" s="340" t="s">
        <x:v>332</x:v>
      </x:c>
      <x:c r="E56" s="364"/>
      <x:c r="F56" s="365" t="s">
        <x:v>391</x:v>
      </x:c>
      <x:c r="G56" s="341" t="s">
        <x:v>392</x:v>
      </x:c>
      <x:c r="H56" s="366">
        <x:v>2</x:v>
      </x:c>
      <x:c r="I56" s="340" t="s">
        <x:v>387</x:v>
      </x:c>
      <x:c r="J56" s="367">
        <x:v>6912</x:v>
      </x:c>
      <x:c r="K56" s="367">
        <x:v>10368</x:v>
      </x:c>
      <x:c r="L56" s="367">
        <x:v>8064</x:v>
      </x:c>
      <x:c r="M56" s="367">
        <x:v>6912</x:v>
      </x:c>
      <x:c r="N56" s="367">
        <x:v>9216</x:v>
      </x:c>
      <x:c r="O56" s="367">
        <x:v>10368</x:v>
      </x:c>
      <x:c r="P56" s="367">
        <x:v>6912</x:v>
      </x:c>
      <x:c r="Q56" s="367">
        <x:v>9216</x:v>
      </x:c>
      <x:c r="R56" s="367">
        <x:v>9216</x:v>
      </x:c>
      <x:c r="S56" s="367">
        <x:v>6124</x:v>
      </x:c>
      <x:c r="T56" s="367">
        <x:v>8510</x:v>
      </x:c>
      <x:c r="U56" s="367">
        <x:v>8392</x:v>
      </x:c>
      <x:c r="V56" s="368">
        <x:f t="shared" si="1"/>
        <x:v>100210</x:v>
      </x:c>
      <x:c r="W56" s="1059"/>
      <x:c r="X56" s="838">
        <x:v>0</x:v>
      </x:c>
      <x:c r="Y56" s="839" t="s">
        <x:v>1274</x:v>
      </x:c>
      <x:c r="Z56" s="48" t="e">
        <x:v>#N/A</x:v>
      </x:c>
      <x:c r="AA56" s="837" t="e">
        <x:f t="shared" si="2"/>
        <x:v>#N/A</x:v>
      </x:c>
    </x:row>
    <x:row r="57" spans="1:27" s="48" customFormat="1" ht="13.5">
      <x:c r="A57" s="78"/>
      <x:c r="B57" s="81" t="s">
        <x:v>393</x:v>
      </x:c>
      <x:c r="C57" s="61" t="s">
        <x:v>332</x:v>
      </x:c>
      <x:c r="D57" s="371"/>
      <x:c r="E57" s="371"/>
      <x:c r="F57" s="372" t="s">
        <x:v>394</x:v>
      </x:c>
      <x:c r="G57" s="373" t="s">
        <x:v>395</x:v>
      </x:c>
      <x:c r="H57" s="374">
        <x:v>1</x:v>
      </x:c>
      <x:c r="I57" s="67" t="s">
        <x:v>396</x:v>
      </x:c>
      <x:c r="J57" s="325">
        <x:v>0</x:v>
      </x:c>
      <x:c r="K57" s="326">
        <x:v>37</x:v>
      </x:c>
      <x:c r="L57" s="326">
        <x:v>0</x:v>
      </x:c>
      <x:c r="M57" s="326">
        <x:v>0</x:v>
      </x:c>
      <x:c r="N57" s="326">
        <x:v>0</x:v>
      </x:c>
      <x:c r="O57" s="326">
        <x:v>0</x:v>
      </x:c>
      <x:c r="P57" s="326">
        <x:v>0</x:v>
      </x:c>
      <x:c r="Q57" s="326">
        <x:v>0</x:v>
      </x:c>
      <x:c r="R57" s="326">
        <x:v>0</x:v>
      </x:c>
      <x:c r="S57" s="326">
        <x:v>749</x:v>
      </x:c>
      <x:c r="T57" s="326">
        <x:v>749</x:v>
      </x:c>
      <x:c r="U57" s="326">
        <x:v>749</x:v>
      </x:c>
      <x:c r="V57" s="77">
        <x:f t="shared" si="1"/>
        <x:v>2284</x:v>
      </x:c>
      <x:c r="W57" s="1060"/>
      <x:c r="X57" s="838">
        <x:v>2247</x:v>
      </x:c>
      <x:c r="Y57" s="840">
        <x:f t="shared" ref="Y57:Y69" si="5">V57-X57</x:f>
        <x:v>37</x:v>
      </x:c>
      <x:c r="Z57" s="48">
        <x:v>2247</x:v>
      </x:c>
      <x:c r="AA57" s="837">
        <x:f t="shared" si="2"/>
        <x:v>2247</x:v>
      </x:c>
    </x:row>
    <x:row r="58" spans="1:27" s="48" customFormat="1" ht="13.5">
      <x:c r="A58" s="78"/>
      <x:c r="B58" s="80"/>
      <x:c r="C58" s="235" t="s">
        <x:v>332</x:v>
      </x:c>
      <x:c r="D58" s="250"/>
      <x:c r="E58" s="250"/>
      <x:c r="F58" s="251" t="s">
        <x:v>397</x:v>
      </x:c>
      <x:c r="G58" s="252" t="s">
        <x:v>398</x:v>
      </x:c>
      <x:c r="H58" s="251">
        <x:v>1</x:v>
      </x:c>
      <x:c r="I58" s="235" t="s">
        <x:v>396</x:v>
      </x:c>
      <x:c r="J58" s="254">
        <x:v>0</x:v>
      </x:c>
      <x:c r="K58" s="255">
        <x:v>31</x:v>
      </x:c>
      <x:c r="L58" s="255">
        <x:v>0</x:v>
      </x:c>
      <x:c r="M58" s="255">
        <x:v>0</x:v>
      </x:c>
      <x:c r="N58" s="255">
        <x:v>0</x:v>
      </x:c>
      <x:c r="O58" s="255">
        <x:v>0</x:v>
      </x:c>
      <x:c r="P58" s="255">
        <x:v>0</x:v>
      </x:c>
      <x:c r="Q58" s="255">
        <x:v>0</x:v>
      </x:c>
      <x:c r="R58" s="255">
        <x:v>0</x:v>
      </x:c>
      <x:c r="S58" s="255">
        <x:v>3931</x:v>
      </x:c>
      <x:c r="T58" s="255">
        <x:v>3931</x:v>
      </x:c>
      <x:c r="U58" s="255">
        <x:v>3931</x:v>
      </x:c>
      <x:c r="V58" s="65">
        <x:f t="shared" si="1"/>
        <x:v>11824</x:v>
      </x:c>
      <x:c r="W58" s="280"/>
      <x:c r="X58" s="838">
        <x:v>11793</x:v>
      </x:c>
      <x:c r="Y58" s="840">
        <x:f t="shared" si="5"/>
        <x:v>31</x:v>
      </x:c>
      <x:c r="Z58" s="48">
        <x:v>11793</x:v>
      </x:c>
      <x:c r="AA58" s="837">
        <x:f t="shared" si="2"/>
        <x:v>11793</x:v>
      </x:c>
    </x:row>
    <x:row r="59" spans="1:27" s="48" customFormat="1" ht="13.5">
      <x:c r="A59" s="76"/>
      <x:c r="B59" s="81"/>
      <x:c r="C59" s="235" t="s">
        <x:v>332</x:v>
      </x:c>
      <x:c r="D59" s="235"/>
      <x:c r="E59" s="247"/>
      <x:c r="F59" s="248" t="s">
        <x:v>399</x:v>
      </x:c>
      <x:c r="G59" s="236" t="s">
        <x:v>400</x:v>
      </x:c>
      <x:c r="H59" s="249">
        <x:v>1</x:v>
      </x:c>
      <x:c r="I59" s="235" t="s">
        <x:v>396</x:v>
      </x:c>
      <x:c r="J59" s="254">
        <x:v>0</x:v>
      </x:c>
      <x:c r="K59" s="255">
        <x:v>68</x:v>
      </x:c>
      <x:c r="L59" s="255">
        <x:v>0</x:v>
      </x:c>
      <x:c r="M59" s="255">
        <x:v>0</x:v>
      </x:c>
      <x:c r="N59" s="255">
        <x:v>0</x:v>
      </x:c>
      <x:c r="O59" s="255">
        <x:v>0</x:v>
      </x:c>
      <x:c r="P59" s="255">
        <x:v>0</x:v>
      </x:c>
      <x:c r="Q59" s="255">
        <x:v>0</x:v>
      </x:c>
      <x:c r="R59" s="255">
        <x:v>0</x:v>
      </x:c>
      <x:c r="S59" s="255">
        <x:v>4680</x:v>
      </x:c>
      <x:c r="T59" s="255">
        <x:v>4680</x:v>
      </x:c>
      <x:c r="U59" s="255">
        <x:v>4680</x:v>
      </x:c>
      <x:c r="V59" s="65">
        <x:f t="shared" si="1"/>
        <x:v>14108</x:v>
      </x:c>
      <x:c r="W59" s="1061"/>
      <x:c r="X59" s="838">
        <x:v>14040</x:v>
      </x:c>
      <x:c r="Y59" s="840">
        <x:f t="shared" si="5"/>
        <x:v>68</x:v>
      </x:c>
      <x:c r="Z59" s="48">
        <x:v>14040</x:v>
      </x:c>
      <x:c r="AA59" s="837">
        <x:f t="shared" si="2"/>
        <x:v>14040</x:v>
      </x:c>
    </x:row>
    <x:row r="60" spans="1:27" s="48" customFormat="1" ht="13.5">
      <x:c r="A60" s="76"/>
      <x:c r="B60" s="80"/>
      <x:c r="C60" s="235" t="s">
        <x:v>332</x:v>
      </x:c>
      <x:c r="D60" s="235"/>
      <x:c r="E60" s="247"/>
      <x:c r="F60" s="248" t="s">
        <x:v>401</x:v>
      </x:c>
      <x:c r="G60" s="236" t="s">
        <x:v>402</x:v>
      </x:c>
      <x:c r="H60" s="249">
        <x:v>2</x:v>
      </x:c>
      <x:c r="I60" s="235" t="s">
        <x:v>396</x:v>
      </x:c>
      <x:c r="J60" s="254">
        <x:v>0</x:v>
      </x:c>
      <x:c r="K60" s="255">
        <x:v>136</x:v>
      </x:c>
      <x:c r="L60" s="255">
        <x:v>0</x:v>
      </x:c>
      <x:c r="M60" s="255">
        <x:v>0</x:v>
      </x:c>
      <x:c r="N60" s="255">
        <x:v>0</x:v>
      </x:c>
      <x:c r="O60" s="255">
        <x:v>0</x:v>
      </x:c>
      <x:c r="P60" s="255">
        <x:v>0</x:v>
      </x:c>
      <x:c r="Q60" s="255">
        <x:v>0</x:v>
      </x:c>
      <x:c r="R60" s="255">
        <x:v>0</x:v>
      </x:c>
      <x:c r="S60" s="255">
        <x:v>9360</x:v>
      </x:c>
      <x:c r="T60" s="255">
        <x:v>9360</x:v>
      </x:c>
      <x:c r="U60" s="255">
        <x:v>9360</x:v>
      </x:c>
      <x:c r="V60" s="65">
        <x:f t="shared" si="1"/>
        <x:v>28216</x:v>
      </x:c>
      <x:c r="W60" s="1061"/>
      <x:c r="X60" s="838">
        <x:v>28080</x:v>
      </x:c>
      <x:c r="Y60" s="840">
        <x:f t="shared" si="5"/>
        <x:v>136</x:v>
      </x:c>
      <x:c r="Z60" s="48">
        <x:v>14040</x:v>
      </x:c>
      <x:c r="AA60" s="837">
        <x:f t="shared" si="2"/>
        <x:v>28080</x:v>
      </x:c>
    </x:row>
    <x:row r="61" spans="1:27" s="48" customFormat="1" ht="13.5">
      <x:c r="A61" s="76"/>
      <x:c r="B61" s="80"/>
      <x:c r="C61" s="235" t="s">
        <x:v>332</x:v>
      </x:c>
      <x:c r="D61" s="256"/>
      <x:c r="E61" s="256"/>
      <x:c r="F61" s="256" t="s">
        <x:v>403</x:v>
      </x:c>
      <x:c r="G61" s="257" t="s">
        <x:v>404</x:v>
      </x:c>
      <x:c r="H61" s="256">
        <x:v>1</x:v>
      </x:c>
      <x:c r="I61" s="235" t="s">
        <x:v>396</x:v>
      </x:c>
      <x:c r="J61" s="254">
        <x:v>0</x:v>
      </x:c>
      <x:c r="K61" s="255">
        <x:v>68</x:v>
      </x:c>
      <x:c r="L61" s="255">
        <x:v>0</x:v>
      </x:c>
      <x:c r="M61" s="255">
        <x:v>0</x:v>
      </x:c>
      <x:c r="N61" s="255">
        <x:v>0</x:v>
      </x:c>
      <x:c r="O61" s="255">
        <x:v>0</x:v>
      </x:c>
      <x:c r="P61" s="255">
        <x:v>0</x:v>
      </x:c>
      <x:c r="Q61" s="255">
        <x:v>0</x:v>
      </x:c>
      <x:c r="R61" s="255">
        <x:v>0</x:v>
      </x:c>
      <x:c r="S61" s="255">
        <x:v>4680</x:v>
      </x:c>
      <x:c r="T61" s="255">
        <x:v>4680</x:v>
      </x:c>
      <x:c r="U61" s="255">
        <x:v>4680</x:v>
      </x:c>
      <x:c r="V61" s="65">
        <x:f t="shared" si="1"/>
        <x:v>14108</x:v>
      </x:c>
      <x:c r="W61" s="1062"/>
      <x:c r="X61" s="838">
        <x:v>14040</x:v>
      </x:c>
      <x:c r="Y61" s="840">
        <x:f t="shared" si="5"/>
        <x:v>68</x:v>
      </x:c>
      <x:c r="Z61" s="48">
        <x:v>14040</x:v>
      </x:c>
      <x:c r="AA61" s="837">
        <x:f t="shared" si="2"/>
        <x:v>14040</x:v>
      </x:c>
    </x:row>
    <x:row r="62" spans="1:27" s="48" customFormat="1" ht="13.5">
      <x:c r="A62" s="78"/>
      <x:c r="B62" s="80"/>
      <x:c r="C62" s="240" t="s">
        <x:v>332</x:v>
      </x:c>
      <x:c r="D62" s="250"/>
      <x:c r="E62" s="250"/>
      <x:c r="F62" s="251" t="s">
        <x:v>405</x:v>
      </x:c>
      <x:c r="G62" s="252" t="s">
        <x:v>406</x:v>
      </x:c>
      <x:c r="H62" s="251">
        <x:v>1</x:v>
      </x:c>
      <x:c r="I62" s="235" t="s">
        <x:v>396</x:v>
      </x:c>
      <x:c r="J62" s="254">
        <x:v>0</x:v>
      </x:c>
      <x:c r="K62" s="255">
        <x:v>68</x:v>
      </x:c>
      <x:c r="L62" s="255">
        <x:v>0</x:v>
      </x:c>
      <x:c r="M62" s="255">
        <x:v>0</x:v>
      </x:c>
      <x:c r="N62" s="255">
        <x:v>0</x:v>
      </x:c>
      <x:c r="O62" s="255">
        <x:v>0</x:v>
      </x:c>
      <x:c r="P62" s="255">
        <x:v>0</x:v>
      </x:c>
      <x:c r="Q62" s="255">
        <x:v>0</x:v>
      </x:c>
      <x:c r="R62" s="255">
        <x:v>0</x:v>
      </x:c>
      <x:c r="S62" s="255">
        <x:v>4680</x:v>
      </x:c>
      <x:c r="T62" s="255">
        <x:v>4680</x:v>
      </x:c>
      <x:c r="U62" s="255">
        <x:v>4680</x:v>
      </x:c>
      <x:c r="V62" s="65">
        <x:f t="shared" si="1"/>
        <x:v>14108</x:v>
      </x:c>
      <x:c r="W62" s="1063"/>
      <x:c r="X62" s="838">
        <x:v>14040</x:v>
      </x:c>
      <x:c r="Y62" s="840">
        <x:f t="shared" si="5"/>
        <x:v>68</x:v>
      </x:c>
      <x:c r="Z62" s="48">
        <x:v>14040</x:v>
      </x:c>
      <x:c r="AA62" s="837">
        <x:f t="shared" si="2"/>
        <x:v>14040</x:v>
      </x:c>
    </x:row>
    <x:row r="63" spans="1:27" s="48" customFormat="1" ht="13.5">
      <x:c r="A63" s="78"/>
      <x:c r="B63" s="80"/>
      <x:c r="C63" s="235" t="s">
        <x:v>332</x:v>
      </x:c>
      <x:c r="D63" s="250"/>
      <x:c r="E63" s="250"/>
      <x:c r="F63" s="251" t="s">
        <x:v>407</x:v>
      </x:c>
      <x:c r="G63" s="252" t="s">
        <x:v>408</x:v>
      </x:c>
      <x:c r="H63" s="251">
        <x:v>1</x:v>
      </x:c>
      <x:c r="I63" s="235" t="s">
        <x:v>396</x:v>
      </x:c>
      <x:c r="J63" s="254">
        <x:v>0</x:v>
      </x:c>
      <x:c r="K63" s="255">
        <x:v>68</x:v>
      </x:c>
      <x:c r="L63" s="255">
        <x:v>0</x:v>
      </x:c>
      <x:c r="M63" s="255">
        <x:v>0</x:v>
      </x:c>
      <x:c r="N63" s="255">
        <x:v>0</x:v>
      </x:c>
      <x:c r="O63" s="255">
        <x:v>0</x:v>
      </x:c>
      <x:c r="P63" s="255">
        <x:v>0</x:v>
      </x:c>
      <x:c r="Q63" s="255">
        <x:v>0</x:v>
      </x:c>
      <x:c r="R63" s="255">
        <x:v>0</x:v>
      </x:c>
      <x:c r="S63" s="255">
        <x:v>4680</x:v>
      </x:c>
      <x:c r="T63" s="255">
        <x:v>4680</x:v>
      </x:c>
      <x:c r="U63" s="255">
        <x:v>4680</x:v>
      </x:c>
      <x:c r="V63" s="65">
        <x:f t="shared" si="1"/>
        <x:v>14108</x:v>
      </x:c>
      <x:c r="W63" s="1063"/>
      <x:c r="X63" s="838">
        <x:v>14040</x:v>
      </x:c>
      <x:c r="Y63" s="840">
        <x:f t="shared" si="5"/>
        <x:v>68</x:v>
      </x:c>
      <x:c r="Z63" s="48">
        <x:v>14040</x:v>
      </x:c>
      <x:c r="AA63" s="837">
        <x:f t="shared" si="2"/>
        <x:v>14040</x:v>
      </x:c>
    </x:row>
    <x:row r="64" spans="1:27" s="48" customFormat="1" ht="13.5">
      <x:c r="A64" s="258"/>
      <x:c r="B64" s="80"/>
      <x:c r="C64" s="240" t="s">
        <x:v>332</x:v>
      </x:c>
      <x:c r="D64" s="259"/>
      <x:c r="E64" s="259"/>
      <x:c r="F64" s="253" t="s">
        <x:v>409</x:v>
      </x:c>
      <x:c r="G64" s="260" t="s">
        <x:v>410</x:v>
      </x:c>
      <x:c r="H64" s="253">
        <x:v>1</x:v>
      </x:c>
      <x:c r="I64" s="240" t="s">
        <x:v>396</x:v>
      </x:c>
      <x:c r="J64" s="254">
        <x:v>0</x:v>
      </x:c>
      <x:c r="K64" s="255">
        <x:v>68</x:v>
      </x:c>
      <x:c r="L64" s="255">
        <x:v>0</x:v>
      </x:c>
      <x:c r="M64" s="255">
        <x:v>0</x:v>
      </x:c>
      <x:c r="N64" s="255">
        <x:v>0</x:v>
      </x:c>
      <x:c r="O64" s="255">
        <x:v>0</x:v>
      </x:c>
      <x:c r="P64" s="255">
        <x:v>0</x:v>
      </x:c>
      <x:c r="Q64" s="255">
        <x:v>0</x:v>
      </x:c>
      <x:c r="R64" s="255">
        <x:v>0</x:v>
      </x:c>
      <x:c r="S64" s="255">
        <x:v>4680</x:v>
      </x:c>
      <x:c r="T64" s="255">
        <x:v>4680</x:v>
      </x:c>
      <x:c r="U64" s="255">
        <x:v>4680</x:v>
      </x:c>
      <x:c r="V64" s="65">
        <x:f t="shared" si="1"/>
        <x:v>14108</x:v>
      </x:c>
      <x:c r="W64" s="280"/>
      <x:c r="X64" s="838">
        <x:v>14040</x:v>
      </x:c>
      <x:c r="Y64" s="840">
        <x:f t="shared" si="5"/>
        <x:v>68</x:v>
      </x:c>
      <x:c r="Z64" s="48">
        <x:v>14040</x:v>
      </x:c>
      <x:c r="AA64" s="837">
        <x:f t="shared" si="2"/>
        <x:v>14040</x:v>
      </x:c>
    </x:row>
    <x:row r="65" spans="1:27" s="48" customFormat="1" ht="13.5">
      <x:c r="A65" s="258"/>
      <x:c r="B65" s="80"/>
      <x:c r="C65" s="235" t="s">
        <x:v>332</x:v>
      </x:c>
      <x:c r="D65" s="250"/>
      <x:c r="E65" s="250"/>
      <x:c r="F65" s="251" t="s">
        <x:v>353</x:v>
      </x:c>
      <x:c r="G65" s="252" t="s">
        <x:v>411</x:v>
      </x:c>
      <x:c r="H65" s="251">
        <x:v>3</x:v>
      </x:c>
      <x:c r="I65" s="251" t="s">
        <x:v>1089</x:v>
      </x:c>
      <x:c r="J65" s="254">
        <x:v>0</x:v>
      </x:c>
      <x:c r="K65" s="255">
        <x:v>204</x:v>
      </x:c>
      <x:c r="L65" s="255">
        <x:v>0</x:v>
      </x:c>
      <x:c r="M65" s="255">
        <x:v>0</x:v>
      </x:c>
      <x:c r="N65" s="255">
        <x:v>0</x:v>
      </x:c>
      <x:c r="O65" s="255">
        <x:v>0</x:v>
      </x:c>
      <x:c r="P65" s="255">
        <x:v>0</x:v>
      </x:c>
      <x:c r="Q65" s="255">
        <x:v>0</x:v>
      </x:c>
      <x:c r="R65" s="255">
        <x:v>0</x:v>
      </x:c>
      <x:c r="S65" s="255">
        <x:v>14040</x:v>
      </x:c>
      <x:c r="T65" s="255">
        <x:v>14040</x:v>
      </x:c>
      <x:c r="U65" s="255">
        <x:v>14040</x:v>
      </x:c>
      <x:c r="V65" s="65">
        <x:f t="shared" si="1"/>
        <x:v>42324</x:v>
      </x:c>
      <x:c r="W65" s="280"/>
      <x:c r="X65" s="838">
        <x:v>42120</x:v>
      </x:c>
      <x:c r="Y65" s="840">
        <x:f t="shared" si="5"/>
        <x:v>204</x:v>
      </x:c>
      <x:c r="Z65" s="48">
        <x:v>14040</x:v>
      </x:c>
      <x:c r="AA65" s="837">
        <x:f t="shared" si="2"/>
        <x:v>42120</x:v>
      </x:c>
    </x:row>
    <x:row r="66" spans="1:27" s="48" customFormat="1" ht="13.5">
      <x:c r="A66" s="258"/>
      <x:c r="B66" s="80"/>
      <x:c r="C66" s="240" t="s">
        <x:v>332</x:v>
      </x:c>
      <x:c r="D66" s="250"/>
      <x:c r="E66" s="250"/>
      <x:c r="F66" s="251" t="s">
        <x:v>412</x:v>
      </x:c>
      <x:c r="G66" s="252" t="s">
        <x:v>413</x:v>
      </x:c>
      <x:c r="H66" s="251">
        <x:v>1</x:v>
      </x:c>
      <x:c r="I66" s="251" t="s">
        <x:v>1089</x:v>
      </x:c>
      <x:c r="J66" s="254">
        <x:v>0</x:v>
      </x:c>
      <x:c r="K66" s="255">
        <x:v>68</x:v>
      </x:c>
      <x:c r="L66" s="255">
        <x:v>0</x:v>
      </x:c>
      <x:c r="M66" s="255">
        <x:v>0</x:v>
      </x:c>
      <x:c r="N66" s="255">
        <x:v>0</x:v>
      </x:c>
      <x:c r="O66" s="255">
        <x:v>0</x:v>
      </x:c>
      <x:c r="P66" s="255">
        <x:v>0</x:v>
      </x:c>
      <x:c r="Q66" s="255">
        <x:v>0</x:v>
      </x:c>
      <x:c r="R66" s="255">
        <x:v>0</x:v>
      </x:c>
      <x:c r="S66" s="255">
        <x:v>4680</x:v>
      </x:c>
      <x:c r="T66" s="255">
        <x:v>4680</x:v>
      </x:c>
      <x:c r="U66" s="255">
        <x:v>4680</x:v>
      </x:c>
      <x:c r="V66" s="65">
        <x:f t="shared" si="1"/>
        <x:v>14108</x:v>
      </x:c>
      <x:c r="W66" s="280"/>
      <x:c r="X66" s="838">
        <x:v>14040</x:v>
      </x:c>
      <x:c r="Y66" s="840">
        <x:f t="shared" si="5"/>
        <x:v>68</x:v>
      </x:c>
      <x:c r="Z66" s="48">
        <x:v>14040</x:v>
      </x:c>
      <x:c r="AA66" s="837">
        <x:f t="shared" si="2"/>
        <x:v>14040</x:v>
      </x:c>
    </x:row>
    <x:row r="67" spans="1:27" s="48" customFormat="1" ht="13.5">
      <x:c r="A67" s="258"/>
      <x:c r="B67" s="80"/>
      <x:c r="C67" s="235" t="s">
        <x:v>332</x:v>
      </x:c>
      <x:c r="D67" s="250"/>
      <x:c r="E67" s="250"/>
      <x:c r="F67" s="251" t="s">
        <x:v>358</x:v>
      </x:c>
      <x:c r="G67" s="252" t="s">
        <x:v>414</x:v>
      </x:c>
      <x:c r="H67" s="253">
        <x:v>1</x:v>
      </x:c>
      <x:c r="I67" s="251" t="s">
        <x:v>1089</x:v>
      </x:c>
      <x:c r="J67" s="254">
        <x:v>0</x:v>
      </x:c>
      <x:c r="K67" s="255">
        <x:v>68</x:v>
      </x:c>
      <x:c r="L67" s="255">
        <x:v>0</x:v>
      </x:c>
      <x:c r="M67" s="255">
        <x:v>0</x:v>
      </x:c>
      <x:c r="N67" s="255">
        <x:v>0</x:v>
      </x:c>
      <x:c r="O67" s="255">
        <x:v>0</x:v>
      </x:c>
      <x:c r="P67" s="255">
        <x:v>0</x:v>
      </x:c>
      <x:c r="Q67" s="255">
        <x:v>0</x:v>
      </x:c>
      <x:c r="R67" s="255">
        <x:v>0</x:v>
      </x:c>
      <x:c r="S67" s="255">
        <x:v>4680</x:v>
      </x:c>
      <x:c r="T67" s="255">
        <x:v>4680</x:v>
      </x:c>
      <x:c r="U67" s="255">
        <x:v>4680</x:v>
      </x:c>
      <x:c r="V67" s="65">
        <x:f t="shared" si="1"/>
        <x:v>14108</x:v>
      </x:c>
      <x:c r="W67" s="280"/>
      <x:c r="X67" s="838">
        <x:v>14040</x:v>
      </x:c>
      <x:c r="Y67" s="840">
        <x:f t="shared" si="5"/>
        <x:v>68</x:v>
      </x:c>
      <x:c r="Z67" s="48">
        <x:v>14040</x:v>
      </x:c>
      <x:c r="AA67" s="837">
        <x:f t="shared" si="2"/>
        <x:v>14040</x:v>
      </x:c>
    </x:row>
    <x:row r="68" spans="1:27" s="48" customFormat="1" ht="13.5">
      <x:c r="A68" s="258"/>
      <x:c r="B68" s="80"/>
      <x:c r="C68" s="240" t="s">
        <x:v>332</x:v>
      </x:c>
      <x:c r="D68" s="250"/>
      <x:c r="E68" s="250"/>
      <x:c r="F68" s="251" t="s">
        <x:v>415</x:v>
      </x:c>
      <x:c r="G68" s="252" t="s">
        <x:v>416</x:v>
      </x:c>
      <x:c r="H68" s="251">
        <x:v>1</x:v>
      </x:c>
      <x:c r="I68" s="251" t="s">
        <x:v>1089</x:v>
      </x:c>
      <x:c r="J68" s="254">
        <x:v>0</x:v>
      </x:c>
      <x:c r="K68" s="255">
        <x:v>68</x:v>
      </x:c>
      <x:c r="L68" s="255">
        <x:v>0</x:v>
      </x:c>
      <x:c r="M68" s="255">
        <x:v>0</x:v>
      </x:c>
      <x:c r="N68" s="255">
        <x:v>0</x:v>
      </x:c>
      <x:c r="O68" s="255">
        <x:v>0</x:v>
      </x:c>
      <x:c r="P68" s="255">
        <x:v>0</x:v>
      </x:c>
      <x:c r="Q68" s="255">
        <x:v>0</x:v>
      </x:c>
      <x:c r="R68" s="255">
        <x:v>0</x:v>
      </x:c>
      <x:c r="S68" s="255">
        <x:v>4680</x:v>
      </x:c>
      <x:c r="T68" s="255">
        <x:v>4680</x:v>
      </x:c>
      <x:c r="U68" s="255">
        <x:v>4680</x:v>
      </x:c>
      <x:c r="V68" s="65">
        <x:f t="shared" si="1"/>
        <x:v>14108</x:v>
      </x:c>
      <x:c r="W68" s="280"/>
      <x:c r="X68" s="838">
        <x:v>14040</x:v>
      </x:c>
      <x:c r="Y68" s="840">
        <x:f t="shared" si="5"/>
        <x:v>68</x:v>
      </x:c>
      <x:c r="Z68" s="48">
        <x:v>14040</x:v>
      </x:c>
      <x:c r="AA68" s="837">
        <x:f t="shared" si="2"/>
        <x:v>14040</x:v>
      </x:c>
    </x:row>
    <x:row r="69" spans="1:27" s="48" customFormat="1" ht="13.5">
      <x:c r="A69" s="258"/>
      <x:c r="B69" s="80"/>
      <x:c r="C69" s="240" t="s">
        <x:v>332</x:v>
      </x:c>
      <x:c r="D69" s="259"/>
      <x:c r="E69" s="259"/>
      <x:c r="F69" s="253" t="s">
        <x:v>417</x:v>
      </x:c>
      <x:c r="G69" s="260" t="s">
        <x:v>418</x:v>
      </x:c>
      <x:c r="H69" s="253">
        <x:v>1</x:v>
      </x:c>
      <x:c r="I69" s="240" t="s">
        <x:v>396</x:v>
      </x:c>
      <x:c r="J69" s="261">
        <x:v>0</x:v>
      </x:c>
      <x:c r="K69" s="262">
        <x:v>68</x:v>
      </x:c>
      <x:c r="L69" s="262">
        <x:v>0</x:v>
      </x:c>
      <x:c r="M69" s="262">
        <x:v>0</x:v>
      </x:c>
      <x:c r="N69" s="262">
        <x:v>0</x:v>
      </x:c>
      <x:c r="O69" s="262">
        <x:v>0</x:v>
      </x:c>
      <x:c r="P69" s="262">
        <x:v>0</x:v>
      </x:c>
      <x:c r="Q69" s="262">
        <x:v>0</x:v>
      </x:c>
      <x:c r="R69" s="262">
        <x:v>0</x:v>
      </x:c>
      <x:c r="S69" s="262">
        <x:v>4680</x:v>
      </x:c>
      <x:c r="T69" s="262">
        <x:v>4680</x:v>
      </x:c>
      <x:c r="U69" s="262">
        <x:v>4680</x:v>
      </x:c>
      <x:c r="V69" s="64">
        <x:f t="shared" si="1"/>
        <x:v>14108</x:v>
      </x:c>
      <x:c r="W69" s="280"/>
      <x:c r="X69" s="838">
        <x:v>14040</x:v>
      </x:c>
      <x:c r="Y69" s="840">
        <x:f t="shared" si="5"/>
        <x:v>68</x:v>
      </x:c>
      <x:c r="Z69" s="48">
        <x:v>14040</x:v>
      </x:c>
      <x:c r="AA69" s="837">
        <x:f t="shared" si="2"/>
        <x:v>14040</x:v>
      </x:c>
    </x:row>
    <x:row r="70" spans="1:27" s="48" customFormat="1" ht="13.5">
      <x:c r="A70" s="258"/>
      <x:c r="B70" s="1218" t="s">
        <x:v>1046</x:v>
      </x:c>
      <x:c r="C70" s="235"/>
      <x:c r="D70" s="235" t="s">
        <x:v>332</x:v>
      </x:c>
      <x:c r="E70" s="250"/>
      <x:c r="F70" s="251" t="s">
        <x:v>1047</x:v>
      </x:c>
      <x:c r="G70" s="252" t="s">
        <x:v>386</x:v>
      </x:c>
      <x:c r="H70" s="251">
        <x:v>1</x:v>
      </x:c>
      <x:c r="I70" s="251" t="s">
        <x:v>1089</x:v>
      </x:c>
      <x:c r="J70" s="243">
        <x:v>0</x:v>
      </x:c>
      <x:c r="K70" s="243">
        <x:v>68</x:v>
      </x:c>
      <x:c r="L70" s="243">
        <x:v>0</x:v>
      </x:c>
      <x:c r="M70" s="243">
        <x:v>0</x:v>
      </x:c>
      <x:c r="N70" s="243">
        <x:v>0</x:v>
      </x:c>
      <x:c r="O70" s="243">
        <x:v>0</x:v>
      </x:c>
      <x:c r="P70" s="243">
        <x:v>0</x:v>
      </x:c>
      <x:c r="Q70" s="243">
        <x:v>0</x:v>
      </x:c>
      <x:c r="R70" s="243">
        <x:v>0</x:v>
      </x:c>
      <x:c r="S70" s="243">
        <x:v>4680</x:v>
      </x:c>
      <x:c r="T70" s="243">
        <x:v>4680</x:v>
      </x:c>
      <x:c r="U70" s="243">
        <x:v>4680</x:v>
      </x:c>
      <x:c r="V70" s="64">
        <x:f t="shared" si="1"/>
        <x:v>14108</x:v>
      </x:c>
      <x:c r="W70" s="1063"/>
      <x:c r="X70" s="838">
        <x:v>0</x:v>
      </x:c>
      <x:c r="Y70" s="839" t="s">
        <x:v>1274</x:v>
      </x:c>
      <x:c r="Z70" s="48" t="e">
        <x:v>#N/A</x:v>
      </x:c>
      <x:c r="AA70" s="837" t="e">
        <x:f t="shared" si="2"/>
        <x:v>#N/A</x:v>
      </x:c>
    </x:row>
    <x:row r="71" spans="1:27" s="48" customFormat="1" ht="13.5">
      <x:c r="A71" s="258"/>
      <x:c r="B71" s="1219"/>
      <x:c r="C71" s="235"/>
      <x:c r="D71" s="235" t="s">
        <x:v>332</x:v>
      </x:c>
      <x:c r="E71" s="250"/>
      <x:c r="F71" s="263" t="s">
        <x:v>1048</x:v>
      </x:c>
      <x:c r="G71" s="252" t="s">
        <x:v>390</x:v>
      </x:c>
      <x:c r="H71" s="251">
        <x:v>1</x:v>
      </x:c>
      <x:c r="I71" s="251" t="s">
        <x:v>1089</x:v>
      </x:c>
      <x:c r="J71" s="243">
        <x:v>0</x:v>
      </x:c>
      <x:c r="K71" s="243">
        <x:v>68</x:v>
      </x:c>
      <x:c r="L71" s="243">
        <x:v>0</x:v>
      </x:c>
      <x:c r="M71" s="243">
        <x:v>0</x:v>
      </x:c>
      <x:c r="N71" s="243">
        <x:v>0</x:v>
      </x:c>
      <x:c r="O71" s="243">
        <x:v>0</x:v>
      </x:c>
      <x:c r="P71" s="243">
        <x:v>0</x:v>
      </x:c>
      <x:c r="Q71" s="243">
        <x:v>0</x:v>
      </x:c>
      <x:c r="R71" s="243">
        <x:v>0</x:v>
      </x:c>
      <x:c r="S71" s="243">
        <x:v>4680</x:v>
      </x:c>
      <x:c r="T71" s="243">
        <x:v>4680</x:v>
      </x:c>
      <x:c r="U71" s="243">
        <x:v>4680</x:v>
      </x:c>
      <x:c r="V71" s="64">
        <x:f t="shared" si="1"/>
        <x:v>14108</x:v>
      </x:c>
      <x:c r="W71" s="1063"/>
      <x:c r="X71" s="838">
        <x:v>0</x:v>
      </x:c>
      <x:c r="Y71" s="839" t="s">
        <x:v>1274</x:v>
      </x:c>
      <x:c r="Z71" s="48" t="e">
        <x:v>#N/A</x:v>
      </x:c>
      <x:c r="AA71" s="837" t="e">
        <x:f t="shared" si="2"/>
        <x:v>#N/A</x:v>
      </x:c>
    </x:row>
    <x:row r="72" spans="1:27" s="48" customFormat="1" ht="13.5">
      <x:c r="A72" s="258"/>
      <x:c r="B72" s="1219"/>
      <x:c r="C72" s="235"/>
      <x:c r="D72" s="235" t="s">
        <x:v>332</x:v>
      </x:c>
      <x:c r="E72" s="250"/>
      <x:c r="F72" s="251" t="s">
        <x:v>1049</x:v>
      </x:c>
      <x:c r="G72" s="252" t="s">
        <x:v>1050</x:v>
      </x:c>
      <x:c r="H72" s="251">
        <x:v>2</x:v>
      </x:c>
      <x:c r="I72" s="251" t="s">
        <x:v>1089</x:v>
      </x:c>
      <x:c r="J72" s="243">
        <x:v>0</x:v>
      </x:c>
      <x:c r="K72" s="243">
        <x:v>136</x:v>
      </x:c>
      <x:c r="L72" s="243">
        <x:v>0</x:v>
      </x:c>
      <x:c r="M72" s="243">
        <x:v>0</x:v>
      </x:c>
      <x:c r="N72" s="243">
        <x:v>0</x:v>
      </x:c>
      <x:c r="O72" s="243">
        <x:v>0</x:v>
      </x:c>
      <x:c r="P72" s="243">
        <x:v>0</x:v>
      </x:c>
      <x:c r="Q72" s="243">
        <x:v>0</x:v>
      </x:c>
      <x:c r="R72" s="243">
        <x:v>0</x:v>
      </x:c>
      <x:c r="S72" s="243">
        <x:v>9360</x:v>
      </x:c>
      <x:c r="T72" s="243">
        <x:v>9360</x:v>
      </x:c>
      <x:c r="U72" s="243">
        <x:v>9360</x:v>
      </x:c>
      <x:c r="V72" s="64">
        <x:f t="shared" si="1"/>
        <x:v>28216</x:v>
      </x:c>
      <x:c r="W72" s="1063"/>
      <x:c r="X72" s="838">
        <x:v>0</x:v>
      </x:c>
      <x:c r="Y72" s="839" t="s">
        <x:v>1274</x:v>
      </x:c>
      <x:c r="Z72" s="48" t="e">
        <x:v>#N/A</x:v>
      </x:c>
      <x:c r="AA72" s="837" t="e">
        <x:f t="shared" si="2"/>
        <x:v>#N/A</x:v>
      </x:c>
    </x:row>
    <x:row r="73" spans="1:27" s="48" customFormat="1" ht="13.5">
      <x:c r="A73" s="258"/>
      <x:c r="B73" s="1219"/>
      <x:c r="C73" s="235"/>
      <x:c r="D73" s="235" t="s">
        <x:v>332</x:v>
      </x:c>
      <x:c r="E73" s="250"/>
      <x:c r="F73" s="251" t="s">
        <x:v>1051</x:v>
      </x:c>
      <x:c r="G73" s="252" t="s">
        <x:v>1052</x:v>
      </x:c>
      <x:c r="H73" s="251">
        <x:v>4</x:v>
      </x:c>
      <x:c r="I73" s="251" t="s">
        <x:v>1089</x:v>
      </x:c>
      <x:c r="J73" s="243">
        <x:v>0</x:v>
      </x:c>
      <x:c r="K73" s="243">
        <x:v>272</x:v>
      </x:c>
      <x:c r="L73" s="243">
        <x:v>0</x:v>
      </x:c>
      <x:c r="M73" s="243">
        <x:v>0</x:v>
      </x:c>
      <x:c r="N73" s="243">
        <x:v>0</x:v>
      </x:c>
      <x:c r="O73" s="243">
        <x:v>0</x:v>
      </x:c>
      <x:c r="P73" s="243">
        <x:v>0</x:v>
      </x:c>
      <x:c r="Q73" s="243">
        <x:v>0</x:v>
      </x:c>
      <x:c r="R73" s="243">
        <x:v>0</x:v>
      </x:c>
      <x:c r="S73" s="243">
        <x:v>18720</x:v>
      </x:c>
      <x:c r="T73" s="243">
        <x:v>18720</x:v>
      </x:c>
      <x:c r="U73" s="243">
        <x:v>18720</x:v>
      </x:c>
      <x:c r="V73" s="64">
        <x:f t="shared" si="1"/>
        <x:v>56432</x:v>
      </x:c>
      <x:c r="W73" s="1063"/>
      <x:c r="X73" s="838">
        <x:v>0</x:v>
      </x:c>
      <x:c r="Y73" s="839" t="s">
        <x:v>1274</x:v>
      </x:c>
      <x:c r="Z73" s="48" t="e">
        <x:v>#N/A</x:v>
      </x:c>
      <x:c r="AA73" s="837" t="e">
        <x:f t="shared" si="2"/>
        <x:v>#N/A</x:v>
      </x:c>
    </x:row>
    <x:row r="74" spans="1:27" s="42" customFormat="1">
      <x:c r="A74" s="258"/>
      <x:c r="B74" s="1219"/>
      <x:c r="C74" s="235"/>
      <x:c r="D74" s="235" t="s">
        <x:v>332</x:v>
      </x:c>
      <x:c r="E74" s="250"/>
      <x:c r="F74" s="251" t="s">
        <x:v>1053</x:v>
      </x:c>
      <x:c r="G74" s="252" t="s">
        <x:v>1054</x:v>
      </x:c>
      <x:c r="H74" s="251">
        <x:v>1</x:v>
      </x:c>
      <x:c r="I74" s="251" t="s">
        <x:v>1089</x:v>
      </x:c>
      <x:c r="J74" s="243">
        <x:v>0</x:v>
      </x:c>
      <x:c r="K74" s="243">
        <x:v>68</x:v>
      </x:c>
      <x:c r="L74" s="243">
        <x:v>0</x:v>
      </x:c>
      <x:c r="M74" s="243">
        <x:v>0</x:v>
      </x:c>
      <x:c r="N74" s="243">
        <x:v>0</x:v>
      </x:c>
      <x:c r="O74" s="243">
        <x:v>0</x:v>
      </x:c>
      <x:c r="P74" s="243">
        <x:v>0</x:v>
      </x:c>
      <x:c r="Q74" s="243">
        <x:v>0</x:v>
      </x:c>
      <x:c r="R74" s="243">
        <x:v>0</x:v>
      </x:c>
      <x:c r="S74" s="243">
        <x:v>4680</x:v>
      </x:c>
      <x:c r="T74" s="243">
        <x:v>4680</x:v>
      </x:c>
      <x:c r="U74" s="243">
        <x:v>4680</x:v>
      </x:c>
      <x:c r="V74" s="64">
        <x:f t="shared" si="1"/>
        <x:v>14108</x:v>
      </x:c>
      <x:c r="W74" s="1063"/>
      <x:c r="X74" s="838">
        <x:v>0</x:v>
      </x:c>
      <x:c r="Y74" s="839" t="s">
        <x:v>1274</x:v>
      </x:c>
      <x:c r="Z74" s="48" t="e">
        <x:v>#N/A</x:v>
      </x:c>
      <x:c r="AA74" s="837" t="e">
        <x:f t="shared" si="2"/>
        <x:v>#N/A</x:v>
      </x:c>
    </x:row>
    <x:row r="75" spans="1:27">
      <x:c r="A75" s="258"/>
      <x:c r="B75" s="1219"/>
      <x:c r="C75" s="235"/>
      <x:c r="D75" s="235" t="s">
        <x:v>332</x:v>
      </x:c>
      <x:c r="E75" s="250"/>
      <x:c r="F75" s="251" t="s">
        <x:v>1055</x:v>
      </x:c>
      <x:c r="G75" s="252" t="s">
        <x:v>1056</x:v>
      </x:c>
      <x:c r="H75" s="251">
        <x:v>2</x:v>
      </x:c>
      <x:c r="I75" s="251" t="s">
        <x:v>1089</x:v>
      </x:c>
      <x:c r="J75" s="243">
        <x:v>0</x:v>
      </x:c>
      <x:c r="K75" s="243">
        <x:v>74</x:v>
      </x:c>
      <x:c r="L75" s="243">
        <x:v>0</x:v>
      </x:c>
      <x:c r="M75" s="243">
        <x:v>0</x:v>
      </x:c>
      <x:c r="N75" s="243">
        <x:v>0</x:v>
      </x:c>
      <x:c r="O75" s="243">
        <x:v>0</x:v>
      </x:c>
      <x:c r="P75" s="243">
        <x:v>0</x:v>
      </x:c>
      <x:c r="Q75" s="243">
        <x:v>0</x:v>
      </x:c>
      <x:c r="R75" s="243">
        <x:v>0</x:v>
      </x:c>
      <x:c r="S75" s="243">
        <x:v>1498</x:v>
      </x:c>
      <x:c r="T75" s="243">
        <x:v>1498</x:v>
      </x:c>
      <x:c r="U75" s="243">
        <x:v>1498</x:v>
      </x:c>
      <x:c r="V75" s="64">
        <x:f t="shared" si="1"/>
        <x:v>4568</x:v>
      </x:c>
      <x:c r="W75" s="1063"/>
      <x:c r="X75" s="838">
        <x:v>0</x:v>
      </x:c>
      <x:c r="Y75" s="839" t="s">
        <x:v>1274</x:v>
      </x:c>
      <x:c r="Z75" s="48" t="e">
        <x:v>#N/A</x:v>
      </x:c>
      <x:c r="AA75" s="837" t="e">
        <x:f t="shared" ref="AA75:AA77" si="6">+Z75*H75</x:f>
        <x:v>#N/A</x:v>
      </x:c>
    </x:row>
    <x:row r="76" spans="1:27">
      <x:c r="A76" s="258"/>
      <x:c r="B76" s="1219"/>
      <x:c r="C76" s="235"/>
      <x:c r="D76" s="235" t="s">
        <x:v>332</x:v>
      </x:c>
      <x:c r="E76" s="250"/>
      <x:c r="F76" s="251" t="s">
        <x:v>1057</x:v>
      </x:c>
      <x:c r="G76" s="252" t="s">
        <x:v>1058</x:v>
      </x:c>
      <x:c r="H76" s="251">
        <x:v>1</x:v>
      </x:c>
      <x:c r="I76" s="251" t="s">
        <x:v>1089</x:v>
      </x:c>
      <x:c r="J76" s="243">
        <x:v>0</x:v>
      </x:c>
      <x:c r="K76" s="243">
        <x:v>37</x:v>
      </x:c>
      <x:c r="L76" s="243">
        <x:v>0</x:v>
      </x:c>
      <x:c r="M76" s="243">
        <x:v>0</x:v>
      </x:c>
      <x:c r="N76" s="243">
        <x:v>0</x:v>
      </x:c>
      <x:c r="O76" s="243">
        <x:v>0</x:v>
      </x:c>
      <x:c r="P76" s="243">
        <x:v>0</x:v>
      </x:c>
      <x:c r="Q76" s="243">
        <x:v>0</x:v>
      </x:c>
      <x:c r="R76" s="243">
        <x:v>0</x:v>
      </x:c>
      <x:c r="S76" s="243">
        <x:v>749</x:v>
      </x:c>
      <x:c r="T76" s="243">
        <x:v>749</x:v>
      </x:c>
      <x:c r="U76" s="243">
        <x:v>749</x:v>
      </x:c>
      <x:c r="V76" s="64">
        <x:f t="shared" ref="V76:V77" si="7">SUM(J76:U76)</x:f>
        <x:v>2284</x:v>
      </x:c>
      <x:c r="W76" s="1063"/>
      <x:c r="X76" s="838">
        <x:v>0</x:v>
      </x:c>
      <x:c r="Y76" s="839" t="s">
        <x:v>1274</x:v>
      </x:c>
      <x:c r="Z76" s="48" t="e">
        <x:v>#N/A</x:v>
      </x:c>
      <x:c r="AA76" s="837" t="e">
        <x:f t="shared" si="6"/>
        <x:v>#N/A</x:v>
      </x:c>
    </x:row>
    <x:row r="77" spans="1:27" ht="17.25" thickBot="1">
      <x:c r="A77" s="264"/>
      <x:c r="B77" s="1223"/>
      <x:c r="C77" s="82"/>
      <x:c r="D77" s="82" t="s">
        <x:v>332</x:v>
      </x:c>
      <x:c r="E77" s="83"/>
      <x:c r="F77" s="84" t="s">
        <x:v>1059</x:v>
      </x:c>
      <x:c r="G77" s="85" t="s">
        <x:v>1060</x:v>
      </x:c>
      <x:c r="H77" s="84">
        <x:v>1</x:v>
      </x:c>
      <x:c r="I77" s="84" t="s">
        <x:v>1089</x:v>
      </x:c>
      <x:c r="J77" s="86">
        <x:v>0</x:v>
      </x:c>
      <x:c r="K77" s="86">
        <x:v>68</x:v>
      </x:c>
      <x:c r="L77" s="86">
        <x:v>0</x:v>
      </x:c>
      <x:c r="M77" s="86">
        <x:v>0</x:v>
      </x:c>
      <x:c r="N77" s="86">
        <x:v>0</x:v>
      </x:c>
      <x:c r="O77" s="86">
        <x:v>0</x:v>
      </x:c>
      <x:c r="P77" s="86">
        <x:v>0</x:v>
      </x:c>
      <x:c r="Q77" s="86">
        <x:v>0</x:v>
      </x:c>
      <x:c r="R77" s="86">
        <x:v>0</x:v>
      </x:c>
      <x:c r="S77" s="86">
        <x:v>4680</x:v>
      </x:c>
      <x:c r="T77" s="86">
        <x:v>4680</x:v>
      </x:c>
      <x:c r="U77" s="86">
        <x:v>4680</x:v>
      </x:c>
      <x:c r="V77" s="87">
        <x:f t="shared" si="7"/>
        <x:v>14108</x:v>
      </x:c>
      <x:c r="W77" s="1064"/>
      <x:c r="X77" s="838">
        <x:v>0</x:v>
      </x:c>
      <x:c r="Y77" s="839" t="s">
        <x:v>1274</x:v>
      </x:c>
      <x:c r="Z77" s="48" t="e">
        <x:v>#N/A</x:v>
      </x:c>
      <x:c r="AA77" s="837" t="e">
        <x:f t="shared" si="6"/>
        <x:v>#N/A</x:v>
      </x:c>
    </x:row>
    <x:row r="78" spans="1:27" ht="17.25" thickTop="1">
      <x:c r="A78" s="47"/>
      <x:c r="B78" s="265"/>
      <x:c r="C78" s="266"/>
      <x:c r="D78" s="47"/>
      <x:c r="E78" s="47"/>
      <x:c r="F78" s="267"/>
      <x:c r="G78" s="267"/>
      <x:c r="H78" s="267"/>
      <x:c r="I78" s="266"/>
      <x:c r="J78" s="268"/>
      <x:c r="K78" s="268"/>
      <x:c r="L78" s="268"/>
      <x:c r="M78" s="268"/>
      <x:c r="N78" s="268"/>
      <x:c r="O78" s="268"/>
      <x:c r="P78" s="268"/>
      <x:c r="Q78" s="268"/>
      <x:c r="R78" s="268"/>
      <x:c r="S78" s="268"/>
      <x:c r="T78" s="268"/>
      <x:c r="U78" s="268"/>
      <x:c r="V78" s="268"/>
      <x:c r="W78" s="1065"/>
    </x:row>
    <x:row r="80" spans="1:27" ht="17.25">
      <x:c r="A80" s="93" t="s">
        <x:v>419</x:v>
      </x:c>
      <x:c r="B80" s="94"/>
      <x:c r="C80" s="94"/>
      <x:c r="D80" s="94"/>
      <x:c r="E80" s="94"/>
      <x:c r="F80" s="95"/>
      <x:c r="G80" s="94" t="s">
        <x:v>1061</x:v>
      </x:c>
      <x:c r="H80" s="94"/>
      <x:c r="I80" s="94"/>
      <x:c r="J80" s="94"/>
      <x:c r="K80" s="94"/>
      <x:c r="L80" s="94"/>
      <x:c r="M80" s="94"/>
      <x:c r="N80" s="94"/>
      <x:c r="O80" s="94"/>
      <x:c r="P80" s="94"/>
      <x:c r="Q80" s="94"/>
      <x:c r="R80" s="94"/>
      <x:c r="S80" s="94"/>
      <x:c r="T80" s="94"/>
      <x:c r="U80" s="94"/>
      <x:c r="V80" s="94"/>
      <x:c r="W80" s="1066" t="s">
        <x:v>420</x:v>
      </x:c>
    </x:row>
    <x:row r="81" spans="1:27">
      <x:c r="A81" s="1225" t="s">
        <x:v>421</x:v>
      </x:c>
      <x:c r="B81" s="1220" t="s">
        <x:v>309</x:v>
      </x:c>
      <x:c r="C81" s="1227" t="s">
        <x:v>422</x:v>
      </x:c>
      <x:c r="D81" s="1228"/>
      <x:c r="E81" s="1229"/>
      <x:c r="F81" s="1230" t="s">
        <x:v>423</x:v>
      </x:c>
      <x:c r="G81" s="1220" t="s">
        <x:v>424</x:v>
      </x:c>
      <x:c r="H81" s="1220" t="s">
        <x:v>425</x:v>
      </x:c>
      <x:c r="I81" s="1220" t="s">
        <x:v>426</x:v>
      </x:c>
      <x:c r="J81" s="1213" t="s">
        <x:v>427</x:v>
      </x:c>
      <x:c r="K81" s="1214"/>
      <x:c r="L81" s="1214"/>
      <x:c r="M81" s="1214"/>
      <x:c r="N81" s="1214"/>
      <x:c r="O81" s="1214"/>
      <x:c r="P81" s="1214"/>
      <x:c r="Q81" s="1214"/>
      <x:c r="R81" s="1214"/>
      <x:c r="S81" s="1214"/>
      <x:c r="T81" s="1214"/>
      <x:c r="U81" s="1214"/>
      <x:c r="V81" s="1215"/>
      <x:c r="W81" s="1216" t="s">
        <x:v>426</x:v>
      </x:c>
      <x:c r="X81" s="841" t="s">
        <x:v>1279</x:v>
      </x:c>
      <x:c r="Y81" s="841" t="s">
        <x:v>1273</x:v>
      </x:c>
    </x:row>
    <x:row r="82" spans="1:27" ht="17.25" thickBot="1">
      <x:c r="A82" s="1232"/>
      <x:c r="B82" s="1221"/>
      <x:c r="C82" s="270">
        <x:v>1</x:v>
      </x:c>
      <x:c r="D82" s="270">
        <x:v>2</x:v>
      </x:c>
      <x:c r="E82" s="270">
        <x:v>3</x:v>
      </x:c>
      <x:c r="F82" s="1233"/>
      <x:c r="G82" s="1221"/>
      <x:c r="H82" s="1221"/>
      <x:c r="I82" s="1221"/>
      <x:c r="J82" s="271" t="s">
        <x:v>428</x:v>
      </x:c>
      <x:c r="K82" s="271" t="s">
        <x:v>318</x:v>
      </x:c>
      <x:c r="L82" s="271" t="s">
        <x:v>319</x:v>
      </x:c>
      <x:c r="M82" s="271" t="s">
        <x:v>320</x:v>
      </x:c>
      <x:c r="N82" s="271" t="s">
        <x:v>321</x:v>
      </x:c>
      <x:c r="O82" s="271" t="s">
        <x:v>322</x:v>
      </x:c>
      <x:c r="P82" s="271" t="s">
        <x:v>323</x:v>
      </x:c>
      <x:c r="Q82" s="271" t="s">
        <x:v>324</x:v>
      </x:c>
      <x:c r="R82" s="271" t="s">
        <x:v>325</x:v>
      </x:c>
      <x:c r="S82" s="271" t="s">
        <x:v>326</x:v>
      </x:c>
      <x:c r="T82" s="271" t="s">
        <x:v>327</x:v>
      </x:c>
      <x:c r="U82" s="271" t="s">
        <x:v>328</x:v>
      </x:c>
      <x:c r="V82" s="272" t="s">
        <x:v>429</x:v>
      </x:c>
      <x:c r="W82" s="1222"/>
      <x:c r="X82" s="841" t="s">
        <x:v>1271</x:v>
      </x:c>
      <x:c r="Y82" s="841"/>
    </x:row>
    <x:row r="83" spans="1:27" s="48" customFormat="1" ht="14.25" thickTop="1">
      <x:c r="A83" s="51" t="s">
        <x:v>330</x:v>
      </x:c>
      <x:c r="B83" s="52" t="s">
        <x:v>331</x:v>
      </x:c>
      <x:c r="C83" s="53" t="s">
        <x:v>332</x:v>
      </x:c>
      <x:c r="D83" s="53"/>
      <x:c r="E83" s="53"/>
      <x:c r="F83" s="53" t="s">
        <x:v>333</x:v>
      </x:c>
      <x:c r="G83" s="54" t="s">
        <x:v>334</x:v>
      </x:c>
      <x:c r="H83" s="53">
        <x:v>1</x:v>
      </x:c>
      <x:c r="I83" s="53" t="s">
        <x:v>1088</x:v>
      </x:c>
      <x:c r="J83" s="96">
        <x:v>92.928999999999988</x:v>
      </x:c>
      <x:c r="K83" s="96">
        <x:v>92.928999999999988</x:v>
      </x:c>
      <x:c r="L83" s="96">
        <x:v>92.928999999999988</x:v>
      </x:c>
      <x:c r="M83" s="96">
        <x:v>92.928999999999988</x:v>
      </x:c>
      <x:c r="N83" s="96">
        <x:v>92.928999999999988</x:v>
      </x:c>
      <x:c r="O83" s="96">
        <x:v>92.928999999999988</x:v>
      </x:c>
      <x:c r="P83" s="96">
        <x:v>92.928999999999988</x:v>
      </x:c>
      <x:c r="Q83" s="96">
        <x:v>92.928999999999988</x:v>
      </x:c>
      <x:c r="R83" s="96">
        <x:v>92.928999999999988</x:v>
      </x:c>
      <x:c r="S83" s="96">
        <x:v>92.928999999999988</x:v>
      </x:c>
      <x:c r="T83" s="96">
        <x:v>92.928999999999988</x:v>
      </x:c>
      <x:c r="U83" s="96">
        <x:v>92.928999999999988</x:v>
      </x:c>
      <x:c r="V83" s="97"/>
      <x:c r="W83" s="1046" t="s">
        <x:v>335</x:v>
      </x:c>
      <x:c r="X83" s="842"/>
      <x:c r="Y83" s="842"/>
      <x:c r="Z83" s="1166">
        <x:v>92.928999999999988</x:v>
      </x:c>
      <x:c r="AA83" s="842">
        <x:f>+Z83-U83</x:f>
        <x:v>0</x:v>
      </x:c>
    </x:row>
    <x:row r="84" spans="1:27" s="48" customFormat="1" ht="13.5">
      <x:c r="A84" s="58" t="s">
        <x:v>336</x:v>
      </x:c>
      <x:c r="B84" s="59"/>
      <x:c r="C84" s="235" t="s">
        <x:v>332</x:v>
      </x:c>
      <x:c r="D84" s="235"/>
      <x:c r="E84" s="235"/>
      <x:c r="F84" s="235" t="s">
        <x:v>337</x:v>
      </x:c>
      <x:c r="G84" s="236" t="s">
        <x:v>338</x:v>
      </x:c>
      <x:c r="H84" s="235">
        <x:v>1</x:v>
      </x:c>
      <x:c r="I84" s="235" t="s">
        <x:v>1089</x:v>
      </x:c>
      <x:c r="J84" s="273">
        <x:v>18.952499999999997</x:v>
      </x:c>
      <x:c r="K84" s="273">
        <x:v>18.952499999999997</x:v>
      </x:c>
      <x:c r="L84" s="273">
        <x:v>18.952499999999997</x:v>
      </x:c>
      <x:c r="M84" s="273">
        <x:v>18.952499999999997</x:v>
      </x:c>
      <x:c r="N84" s="273">
        <x:v>18.952499999999997</x:v>
      </x:c>
      <x:c r="O84" s="273">
        <x:v>18.952499999999997</x:v>
      </x:c>
      <x:c r="P84" s="273">
        <x:v>18.952499999999997</x:v>
      </x:c>
      <x:c r="Q84" s="273">
        <x:v>18.952499999999997</x:v>
      </x:c>
      <x:c r="R84" s="273">
        <x:v>18.952499999999997</x:v>
      </x:c>
      <x:c r="S84" s="273">
        <x:v>18.952499999999997</x:v>
      </x:c>
      <x:c r="T84" s="273">
        <x:v>18.952499999999997</x:v>
      </x:c>
      <x:c r="U84" s="273">
        <x:v>18.952499999999997</x:v>
      </x:c>
      <x:c r="V84" s="98"/>
      <x:c r="W84" s="1046" t="s">
        <x:v>339</x:v>
      </x:c>
      <x:c r="X84" s="842"/>
      <x:c r="Y84" s="842"/>
      <x:c r="Z84" s="1166">
        <x:v>18.952499999999997</x:v>
      </x:c>
      <x:c r="AA84" s="842">
        <x:f t="shared" ref="AA84:AA147" si="8">+Z84-U84</x:f>
        <x:v>0</x:v>
      </x:c>
    </x:row>
    <x:row r="85" spans="1:27" s="48" customFormat="1" ht="13.5">
      <x:c r="A85" s="58"/>
      <x:c r="B85" s="59"/>
      <x:c r="C85" s="61" t="s">
        <x:v>332</x:v>
      </x:c>
      <x:c r="D85" s="61"/>
      <x:c r="E85" s="61"/>
      <x:c r="F85" s="61" t="s">
        <x:v>340</x:v>
      </x:c>
      <x:c r="G85" s="62" t="s">
        <x:v>341</x:v>
      </x:c>
      <x:c r="H85" s="61">
        <x:v>3</x:v>
      </x:c>
      <x:c r="I85" s="61" t="s">
        <x:v>1089</x:v>
      </x:c>
      <x:c r="J85" s="274">
        <x:v>3.6399168338703722</x:v>
      </x:c>
      <x:c r="K85" s="274">
        <x:v>3.6399168338703722</x:v>
      </x:c>
      <x:c r="L85" s="274">
        <x:v>3.6399168338703722</x:v>
      </x:c>
      <x:c r="M85" s="274">
        <x:v>3.6399168338703722</x:v>
      </x:c>
      <x:c r="N85" s="274">
        <x:v>3.6399168338703722</x:v>
      </x:c>
      <x:c r="O85" s="274">
        <x:v>3.6399168338703722</x:v>
      </x:c>
      <x:c r="P85" s="274">
        <x:v>3.6399168338703722</x:v>
      </x:c>
      <x:c r="Q85" s="274">
        <x:v>3.6399168338703722</x:v>
      </x:c>
      <x:c r="R85" s="274">
        <x:v>3.6399168338703722</x:v>
      </x:c>
      <x:c r="S85" s="274">
        <x:v>3.6399168338703722</x:v>
      </x:c>
      <x:c r="T85" s="274">
        <x:v>3.6399168338703722</x:v>
      </x:c>
      <x:c r="U85" s="274">
        <x:v>3.6399168338703722</x:v>
      </x:c>
      <x:c r="V85" s="99"/>
      <x:c r="W85" s="1046" t="s">
        <x:v>339</x:v>
      </x:c>
      <x:c r="X85" s="842"/>
      <x:c r="Y85" s="842"/>
      <x:c r="Z85" s="1166">
        <x:v>3.6399168338703722</x:v>
      </x:c>
      <x:c r="AA85" s="842">
        <x:f t="shared" si="8"/>
        <x:v>0</x:v>
      </x:c>
    </x:row>
    <x:row r="86" spans="1:27" s="48" customFormat="1" ht="13.5">
      <x:c r="A86" s="58"/>
      <x:c r="B86" s="59"/>
      <x:c r="C86" s="240" t="s">
        <x:v>332</x:v>
      </x:c>
      <x:c r="D86" s="240"/>
      <x:c r="E86" s="240"/>
      <x:c r="F86" s="240" t="s">
        <x:v>342</x:v>
      </x:c>
      <x:c r="G86" s="241" t="s">
        <x:v>343</x:v>
      </x:c>
      <x:c r="H86" s="240">
        <x:v>3</x:v>
      </x:c>
      <x:c r="I86" s="240" t="s">
        <x:v>1089</x:v>
      </x:c>
      <x:c r="J86" s="274">
        <x:v>4.9877997209701057</x:v>
      </x:c>
      <x:c r="K86" s="274">
        <x:v>4.9877997209701057</x:v>
      </x:c>
      <x:c r="L86" s="274">
        <x:v>4.9877997209701057</x:v>
      </x:c>
      <x:c r="M86" s="274">
        <x:v>4.9877997209701057</x:v>
      </x:c>
      <x:c r="N86" s="274">
        <x:v>4.9877997209701057</x:v>
      </x:c>
      <x:c r="O86" s="274">
        <x:v>4.9877997209701057</x:v>
      </x:c>
      <x:c r="P86" s="274">
        <x:v>4.9877997209701057</x:v>
      </x:c>
      <x:c r="Q86" s="274">
        <x:v>4.9877997209701057</x:v>
      </x:c>
      <x:c r="R86" s="274">
        <x:v>4.9877997209701057</x:v>
      </x:c>
      <x:c r="S86" s="274">
        <x:v>4.9877997209701057</x:v>
      </x:c>
      <x:c r="T86" s="274">
        <x:v>4.9877997209701057</x:v>
      </x:c>
      <x:c r="U86" s="274">
        <x:v>4.9877997209701057</x:v>
      </x:c>
      <x:c r="V86" s="99"/>
      <x:c r="W86" s="1046" t="s">
        <x:v>339</x:v>
      </x:c>
      <x:c r="X86" s="842"/>
      <x:c r="Y86" s="842"/>
      <x:c r="Z86" s="1166">
        <x:v>4.9877997209701057</x:v>
      </x:c>
      <x:c r="AA86" s="842">
        <x:f t="shared" si="8"/>
        <x:v>0</x:v>
      </x:c>
    </x:row>
    <x:row r="87" spans="1:27" s="48" customFormat="1" ht="13.5">
      <x:c r="A87" s="58"/>
      <x:c r="B87" s="59"/>
      <x:c r="C87" s="235" t="s">
        <x:v>332</x:v>
      </x:c>
      <x:c r="D87" s="235"/>
      <x:c r="E87" s="235"/>
      <x:c r="F87" s="235" t="s">
        <x:v>344</x:v>
      </x:c>
      <x:c r="G87" s="236" t="s">
        <x:v>345</x:v>
      </x:c>
      <x:c r="H87" s="235">
        <x:v>1</x:v>
      </x:c>
      <x:c r="I87" s="235" t="s">
        <x:v>1089</x:v>
      </x:c>
      <x:c r="J87" s="275">
        <x:v>2.4412159683675543</x:v>
      </x:c>
      <x:c r="K87" s="274">
        <x:v>2.4412159683675543</x:v>
      </x:c>
      <x:c r="L87" s="274">
        <x:v>2.4412159683675543</x:v>
      </x:c>
      <x:c r="M87" s="274">
        <x:v>2.4412159683675543</x:v>
      </x:c>
      <x:c r="N87" s="274">
        <x:v>2.4412159683675543</x:v>
      </x:c>
      <x:c r="O87" s="274">
        <x:v>2.4412159683675543</x:v>
      </x:c>
      <x:c r="P87" s="274">
        <x:v>2.4412159683675543</x:v>
      </x:c>
      <x:c r="Q87" s="274">
        <x:v>2.4412159683675543</x:v>
      </x:c>
      <x:c r="R87" s="274">
        <x:v>2.4412159683675543</x:v>
      </x:c>
      <x:c r="S87" s="274">
        <x:v>2.4412159683675543</x:v>
      </x:c>
      <x:c r="T87" s="274">
        <x:v>2.4412159683675543</x:v>
      </x:c>
      <x:c r="U87" s="274">
        <x:v>2.4412159683675543</x:v>
      </x:c>
      <x:c r="V87" s="99"/>
      <x:c r="W87" s="1046" t="s">
        <x:v>339</x:v>
      </x:c>
      <x:c r="X87" s="842"/>
      <x:c r="Y87" s="842"/>
      <x:c r="Z87" s="1166">
        <x:v>2.4412159683675543</x:v>
      </x:c>
      <x:c r="AA87" s="842">
        <x:f t="shared" si="8"/>
        <x:v>0</x:v>
      </x:c>
    </x:row>
    <x:row r="88" spans="1:27" s="48" customFormat="1" ht="13.5">
      <x:c r="A88" s="58"/>
      <x:c r="B88" s="66" t="s">
        <x:v>346</x:v>
      </x:c>
      <x:c r="C88" s="67" t="s">
        <x:v>332</x:v>
      </x:c>
      <x:c r="D88" s="67"/>
      <x:c r="E88" s="67"/>
      <x:c r="F88" s="67" t="s">
        <x:v>333</x:v>
      </x:c>
      <x:c r="G88" s="68" t="s">
        <x:v>334</x:v>
      </x:c>
      <x:c r="H88" s="67">
        <x:v>1</x:v>
      </x:c>
      <x:c r="I88" s="67" t="s">
        <x:v>1088</x:v>
      </x:c>
      <x:c r="J88" s="276">
        <x:v>97.82</x:v>
      </x:c>
      <x:c r="K88" s="100">
        <x:v>97.82</x:v>
      </x:c>
      <x:c r="L88" s="100">
        <x:v>97.82</x:v>
      </x:c>
      <x:c r="M88" s="100">
        <x:v>97.82</x:v>
      </x:c>
      <x:c r="N88" s="100">
        <x:v>97.82</x:v>
      </x:c>
      <x:c r="O88" s="100">
        <x:v>97.82</x:v>
      </x:c>
      <x:c r="P88" s="100">
        <x:v>97.82</x:v>
      </x:c>
      <x:c r="Q88" s="100">
        <x:v>97.82</x:v>
      </x:c>
      <x:c r="R88" s="100">
        <x:v>97.82</x:v>
      </x:c>
      <x:c r="S88" s="100">
        <x:v>97.82</x:v>
      </x:c>
      <x:c r="T88" s="100">
        <x:v>97.82</x:v>
      </x:c>
      <x:c r="U88" s="100">
        <x:v>97.82</x:v>
      </x:c>
      <x:c r="V88" s="101"/>
      <x:c r="W88" s="1052" t="s">
        <x:v>347</x:v>
      </x:c>
      <x:c r="X88" s="842"/>
      <x:c r="Y88" s="842"/>
      <x:c r="Z88" s="1166">
        <x:v>97.82</x:v>
      </x:c>
      <x:c r="AA88" s="842">
        <x:f t="shared" si="8"/>
        <x:v>0</x:v>
      </x:c>
    </x:row>
    <x:row r="89" spans="1:27" s="48" customFormat="1" ht="13.5">
      <x:c r="A89" s="58"/>
      <x:c r="B89" s="59"/>
      <x:c r="C89" s="235" t="s">
        <x:v>332</x:v>
      </x:c>
      <x:c r="D89" s="235"/>
      <x:c r="E89" s="235"/>
      <x:c r="F89" s="235" t="s">
        <x:v>337</x:v>
      </x:c>
      <x:c r="G89" s="236" t="s">
        <x:v>338</x:v>
      </x:c>
      <x:c r="H89" s="235">
        <x:v>1</x:v>
      </x:c>
      <x:c r="I89" s="235" t="s">
        <x:v>1089</x:v>
      </x:c>
      <x:c r="J89" s="277">
        <x:v>19.95</x:v>
      </x:c>
      <x:c r="K89" s="273">
        <x:v>19.95</x:v>
      </x:c>
      <x:c r="L89" s="273">
        <x:v>19.95</x:v>
      </x:c>
      <x:c r="M89" s="273">
        <x:v>19.95</x:v>
      </x:c>
      <x:c r="N89" s="273">
        <x:v>19.95</x:v>
      </x:c>
      <x:c r="O89" s="273">
        <x:v>19.95</x:v>
      </x:c>
      <x:c r="P89" s="273">
        <x:v>19.95</x:v>
      </x:c>
      <x:c r="Q89" s="273">
        <x:v>19.95</x:v>
      </x:c>
      <x:c r="R89" s="273">
        <x:v>19.95</x:v>
      </x:c>
      <x:c r="S89" s="273">
        <x:v>19.95</x:v>
      </x:c>
      <x:c r="T89" s="273">
        <x:v>19.95</x:v>
      </x:c>
      <x:c r="U89" s="273">
        <x:v>19.95</x:v>
      </x:c>
      <x:c r="V89" s="98"/>
      <x:c r="W89" s="1046" t="s">
        <x:v>339</x:v>
      </x:c>
      <x:c r="X89" s="842"/>
      <x:c r="Y89" s="842"/>
      <x:c r="Z89" s="1166">
        <x:v>19.95</x:v>
      </x:c>
      <x:c r="AA89" s="842">
        <x:f t="shared" si="8"/>
        <x:v>0</x:v>
      </x:c>
    </x:row>
    <x:row r="90" spans="1:27" s="48" customFormat="1" ht="13.5">
      <x:c r="A90" s="58"/>
      <x:c r="B90" s="59"/>
      <x:c r="C90" s="61" t="s">
        <x:v>332</x:v>
      </x:c>
      <x:c r="D90" s="61"/>
      <x:c r="E90" s="61"/>
      <x:c r="F90" s="61" t="s">
        <x:v>340</x:v>
      </x:c>
      <x:c r="G90" s="62" t="s">
        <x:v>341</x:v>
      </x:c>
      <x:c r="H90" s="61">
        <x:v>3</x:v>
      </x:c>
      <x:c r="I90" s="61" t="s">
        <x:v>1089</x:v>
      </x:c>
      <x:c r="J90" s="278">
        <x:v>3.8314914040740762</x:v>
      </x:c>
      <x:c r="K90" s="102">
        <x:v>3.8314914040740762</x:v>
      </x:c>
      <x:c r="L90" s="102">
        <x:v>3.8314914040740762</x:v>
      </x:c>
      <x:c r="M90" s="102">
        <x:v>3.8314914040740762</x:v>
      </x:c>
      <x:c r="N90" s="102">
        <x:v>3.8314914040740762</x:v>
      </x:c>
      <x:c r="O90" s="102">
        <x:v>3.8314914040740762</x:v>
      </x:c>
      <x:c r="P90" s="102">
        <x:v>3.8314914040740762</x:v>
      </x:c>
      <x:c r="Q90" s="102">
        <x:v>3.8314914040740762</x:v>
      </x:c>
      <x:c r="R90" s="102">
        <x:v>3.8314914040740762</x:v>
      </x:c>
      <x:c r="S90" s="102">
        <x:v>3.8314914040740762</x:v>
      </x:c>
      <x:c r="T90" s="102">
        <x:v>3.8314914040740762</x:v>
      </x:c>
      <x:c r="U90" s="102">
        <x:v>3.8314914040740762</x:v>
      </x:c>
      <x:c r="V90" s="103"/>
      <x:c r="W90" s="1046" t="s">
        <x:v>339</x:v>
      </x:c>
      <x:c r="X90" s="842"/>
      <x:c r="Y90" s="842"/>
      <x:c r="Z90" s="1166">
        <x:v>3.8314914040740762</x:v>
      </x:c>
      <x:c r="AA90" s="842">
        <x:f t="shared" si="8"/>
        <x:v>0</x:v>
      </x:c>
    </x:row>
    <x:row r="91" spans="1:27" s="48" customFormat="1" ht="13.5">
      <x:c r="A91" s="58"/>
      <x:c r="B91" s="59"/>
      <x:c r="C91" s="240" t="s">
        <x:v>332</x:v>
      </x:c>
      <x:c r="D91" s="240"/>
      <x:c r="E91" s="240"/>
      <x:c r="F91" s="240" t="s">
        <x:v>342</x:v>
      </x:c>
      <x:c r="G91" s="1144" t="s">
        <x:v>343</x:v>
      </x:c>
      <x:c r="H91" s="1143">
        <x:v>3</x:v>
      </x:c>
      <x:c r="I91" s="1143" t="s">
        <x:v>1089</x:v>
      </x:c>
      <x:c r="J91" s="275">
        <x:v>5.2503154957580067</x:v>
      </x:c>
      <x:c r="K91" s="274">
        <x:v>5.2503154957580067</x:v>
      </x:c>
      <x:c r="L91" s="274">
        <x:v>5.2503154957580067</x:v>
      </x:c>
      <x:c r="M91" s="274">
        <x:v>5.2503154957580067</x:v>
      </x:c>
      <x:c r="N91" s="274">
        <x:v>5.2503154957580067</x:v>
      </x:c>
      <x:c r="O91" s="274">
        <x:v>5.2503154957580067</x:v>
      </x:c>
      <x:c r="P91" s="274">
        <x:v>5.2503154957580067</x:v>
      </x:c>
      <x:c r="Q91" s="274">
        <x:v>5.2503154957580067</x:v>
      </x:c>
      <x:c r="R91" s="274">
        <x:v>5.2503154957580067</x:v>
      </x:c>
      <x:c r="S91" s="274">
        <x:v>5.2503154957580067</x:v>
      </x:c>
      <x:c r="T91" s="274">
        <x:v>5.2503154957580067</x:v>
      </x:c>
      <x:c r="U91" s="274">
        <x:v>5.2503154957580067</x:v>
      </x:c>
      <x:c r="V91" s="103"/>
      <x:c r="W91" s="1046" t="s">
        <x:v>339</x:v>
      </x:c>
      <x:c r="X91" s="842"/>
      <x:c r="Y91" s="842"/>
      <x:c r="Z91" s="1166">
        <x:v>5.2503154957580067</x:v>
      </x:c>
      <x:c r="AA91" s="842">
        <x:f t="shared" si="8"/>
        <x:v>0</x:v>
      </x:c>
    </x:row>
    <x:row r="92" spans="1:27" s="48" customFormat="1" ht="13.5">
      <x:c r="A92" s="58"/>
      <x:c r="B92" s="69"/>
      <x:c r="C92" s="240" t="s">
        <x:v>332</x:v>
      </x:c>
      <x:c r="D92" s="240"/>
      <x:c r="E92" s="240"/>
      <x:c r="F92" s="240" t="s">
        <x:v>344</x:v>
      </x:c>
      <x:c r="G92" s="68" t="s">
        <x:v>345</x:v>
      </x:c>
      <x:c r="H92" s="67">
        <x:v>1</x:v>
      </x:c>
      <x:c r="I92" s="67" t="s">
        <x:v>1089</x:v>
      </x:c>
      <x:c r="J92" s="275">
        <x:v>2.5697010193342678</x:v>
      </x:c>
      <x:c r="K92" s="274">
        <x:v>2.5697010193342678</x:v>
      </x:c>
      <x:c r="L92" s="274">
        <x:v>2.5697010193342678</x:v>
      </x:c>
      <x:c r="M92" s="274">
        <x:v>2.5697010193342678</x:v>
      </x:c>
      <x:c r="N92" s="274">
        <x:v>2.5697010193342678</x:v>
      </x:c>
      <x:c r="O92" s="274">
        <x:v>2.5697010193342678</x:v>
      </x:c>
      <x:c r="P92" s="274">
        <x:v>2.5697010193342678</x:v>
      </x:c>
      <x:c r="Q92" s="274">
        <x:v>2.5697010193342678</x:v>
      </x:c>
      <x:c r="R92" s="274">
        <x:v>2.5697010193342678</x:v>
      </x:c>
      <x:c r="S92" s="274">
        <x:v>2.5697010193342678</x:v>
      </x:c>
      <x:c r="T92" s="274">
        <x:v>2.5697010193342678</x:v>
      </x:c>
      <x:c r="U92" s="274">
        <x:v>2.5697010193342678</x:v>
      </x:c>
      <x:c r="V92" s="103"/>
      <x:c r="W92" s="1046" t="s">
        <x:v>339</x:v>
      </x:c>
      <x:c r="X92" s="842"/>
      <x:c r="Y92" s="842"/>
      <x:c r="Z92" s="1166">
        <x:v>2.5697010193342678</x:v>
      </x:c>
      <x:c r="AA92" s="842">
        <x:f t="shared" si="8"/>
        <x:v>0</x:v>
      </x:c>
    </x:row>
    <x:row r="93" spans="1:27" s="48" customFormat="1" ht="13.5">
      <x:c r="A93" s="58"/>
      <x:c r="B93" s="66" t="s">
        <x:v>1034</x:v>
      </x:c>
      <x:c r="C93" s="235" t="s">
        <x:v>332</x:v>
      </x:c>
      <x:c r="D93" s="235"/>
      <x:c r="E93" s="235"/>
      <x:c r="F93" s="235" t="s">
        <x:v>1090</x:v>
      </x:c>
      <x:c r="G93" s="236" t="s">
        <x:v>1091</x:v>
      </x:c>
      <x:c r="H93" s="235">
        <x:v>1</x:v>
      </x:c>
      <x:c r="I93" s="235" t="s">
        <x:v>1089</x:v>
      </x:c>
      <x:c r="J93" s="277">
        <x:v>133.27000000000001</x:v>
      </x:c>
      <x:c r="K93" s="277">
        <x:v>133.27000000000001</x:v>
      </x:c>
      <x:c r="L93" s="277">
        <x:v>133.27000000000001</x:v>
      </x:c>
      <x:c r="M93" s="277">
        <x:v>133.27000000000001</x:v>
      </x:c>
      <x:c r="N93" s="277">
        <x:v>133.27000000000001</x:v>
      </x:c>
      <x:c r="O93" s="277">
        <x:v>133.27000000000001</x:v>
      </x:c>
      <x:c r="P93" s="277">
        <x:v>133.27000000000001</x:v>
      </x:c>
      <x:c r="Q93" s="277">
        <x:v>133.27000000000001</x:v>
      </x:c>
      <x:c r="R93" s="277">
        <x:v>133.27000000000001</x:v>
      </x:c>
      <x:c r="S93" s="277">
        <x:v>133.27000000000001</x:v>
      </x:c>
      <x:c r="T93" s="277">
        <x:v>133.27000000000001</x:v>
      </x:c>
      <x:c r="U93" s="277">
        <x:v>133.27000000000001</x:v>
      </x:c>
      <x:c r="V93" s="98"/>
      <x:c r="W93" s="1046" t="s">
        <x:v>349</x:v>
      </x:c>
      <x:c r="X93" s="842"/>
      <x:c r="Y93" s="842"/>
      <x:c r="Z93" s="1166">
        <x:v>133.27000000000001</x:v>
      </x:c>
      <x:c r="AA93" s="842">
        <x:f t="shared" si="8"/>
        <x:v>0</x:v>
      </x:c>
    </x:row>
    <x:row r="94" spans="1:27" s="48" customFormat="1" ht="13.5">
      <x:c r="A94" s="58"/>
      <x:c r="B94" s="70"/>
      <x:c r="C94" s="235" t="s">
        <x:v>332</x:v>
      </x:c>
      <x:c r="D94" s="235"/>
      <x:c r="E94" s="235"/>
      <x:c r="F94" s="235" t="s">
        <x:v>366</x:v>
      </x:c>
      <x:c r="G94" s="236" t="s">
        <x:v>1035</x:v>
      </x:c>
      <x:c r="H94" s="235">
        <x:v>1</x:v>
      </x:c>
      <x:c r="I94" s="235" t="s">
        <x:v>1089</x:v>
      </x:c>
      <x:c r="J94" s="277">
        <x:v>27.35</x:v>
      </x:c>
      <x:c r="K94" s="277">
        <x:v>27.35</x:v>
      </x:c>
      <x:c r="L94" s="277">
        <x:v>27.35</x:v>
      </x:c>
      <x:c r="M94" s="277">
        <x:v>27.35</x:v>
      </x:c>
      <x:c r="N94" s="277">
        <x:v>27.35</x:v>
      </x:c>
      <x:c r="O94" s="277">
        <x:v>27.35</x:v>
      </x:c>
      <x:c r="P94" s="277">
        <x:v>27.35</x:v>
      </x:c>
      <x:c r="Q94" s="277">
        <x:v>27.35</x:v>
      </x:c>
      <x:c r="R94" s="277">
        <x:v>27.35</x:v>
      </x:c>
      <x:c r="S94" s="277">
        <x:v>27.35</x:v>
      </x:c>
      <x:c r="T94" s="277">
        <x:v>27.35</x:v>
      </x:c>
      <x:c r="U94" s="277">
        <x:v>27.35</x:v>
      </x:c>
      <x:c r="V94" s="98"/>
      <x:c r="W94" s="1046"/>
      <x:c r="X94" s="842"/>
      <x:c r="Y94" s="842"/>
      <x:c r="Z94" s="1166">
        <x:v>27.35</x:v>
      </x:c>
      <x:c r="AA94" s="842">
        <x:f t="shared" si="8"/>
        <x:v>0</x:v>
      </x:c>
    </x:row>
    <x:row r="95" spans="1:27" s="48" customFormat="1" ht="13.5">
      <x:c r="A95" s="844"/>
      <x:c r="B95" s="845"/>
      <x:c r="C95" s="240" t="s">
        <x:v>332</x:v>
      </x:c>
      <x:c r="D95" s="240"/>
      <x:c r="E95" s="240"/>
      <x:c r="F95" s="240" t="s">
        <x:v>351</x:v>
      </x:c>
      <x:c r="G95" s="241" t="s">
        <x:v>1036</x:v>
      </x:c>
      <x:c r="H95" s="240">
        <x:v>1</x:v>
      </x:c>
      <x:c r="I95" s="240" t="s">
        <x:v>1089</x:v>
      </x:c>
      <x:c r="J95" s="275">
        <x:v>18.5163905500821</x:v>
      </x:c>
      <x:c r="K95" s="275">
        <x:v>18.5163905500821</x:v>
      </x:c>
      <x:c r="L95" s="275">
        <x:v>18.5163905500821</x:v>
      </x:c>
      <x:c r="M95" s="275">
        <x:v>18.5163905500821</x:v>
      </x:c>
      <x:c r="N95" s="275">
        <x:v>18.5163905500821</x:v>
      </x:c>
      <x:c r="O95" s="275">
        <x:v>18.5163905500821</x:v>
      </x:c>
      <x:c r="P95" s="275">
        <x:v>18.5163905500821</x:v>
      </x:c>
      <x:c r="Q95" s="275">
        <x:v>18.5163905500821</x:v>
      </x:c>
      <x:c r="R95" s="275">
        <x:v>18.5163905500821</x:v>
      </x:c>
      <x:c r="S95" s="275">
        <x:v>18.5163905500821</x:v>
      </x:c>
      <x:c r="T95" s="275">
        <x:v>18.5163905500821</x:v>
      </x:c>
      <x:c r="U95" s="275">
        <x:v>18.5163905500821</x:v>
      </x:c>
      <x:c r="V95" s="103"/>
      <x:c r="W95" s="1046"/>
      <x:c r="X95" s="850"/>
      <x:c r="Y95" s="842"/>
      <x:c r="Z95" s="1166">
        <x:v>18.5163905500821</x:v>
      </x:c>
      <x:c r="AA95" s="842">
        <x:f t="shared" si="8"/>
        <x:v>0</x:v>
      </x:c>
    </x:row>
    <x:row r="96" spans="1:27" s="48" customFormat="1" ht="13.5">
      <x:c r="A96" s="58"/>
      <x:c r="B96" s="70"/>
      <x:c r="C96" s="240" t="s">
        <x:v>332</x:v>
      </x:c>
      <x:c r="D96" s="240"/>
      <x:c r="E96" s="240"/>
      <x:c r="F96" s="240" t="s">
        <x:v>353</x:v>
      </x:c>
      <x:c r="G96" s="241" t="s">
        <x:v>1037</x:v>
      </x:c>
      <x:c r="H96" s="240">
        <x:v>3</x:v>
      </x:c>
      <x:c r="I96" s="240" t="s">
        <x:v>1089</x:v>
      </x:c>
      <x:c r="J96" s="275">
        <x:v>16.057014231508653</x:v>
      </x:c>
      <x:c r="K96" s="275">
        <x:v>16.057014231508653</x:v>
      </x:c>
      <x:c r="L96" s="275">
        <x:v>16.057014231508653</x:v>
      </x:c>
      <x:c r="M96" s="275">
        <x:v>16.057014231508653</x:v>
      </x:c>
      <x:c r="N96" s="275">
        <x:v>16.057014231508653</x:v>
      </x:c>
      <x:c r="O96" s="275">
        <x:v>16.057014231508653</x:v>
      </x:c>
      <x:c r="P96" s="275">
        <x:v>16.057014231508653</x:v>
      </x:c>
      <x:c r="Q96" s="275">
        <x:v>16.057014231508653</x:v>
      </x:c>
      <x:c r="R96" s="275">
        <x:v>16.057014231508653</x:v>
      </x:c>
      <x:c r="S96" s="275">
        <x:v>16.057014231508653</x:v>
      </x:c>
      <x:c r="T96" s="275">
        <x:v>16.057014231508653</x:v>
      </x:c>
      <x:c r="U96" s="275">
        <x:v>16.057014231508653</x:v>
      </x:c>
      <x:c r="V96" s="103"/>
      <x:c r="W96" s="1046"/>
      <x:c r="X96" s="842"/>
      <x:c r="Y96" s="842"/>
      <x:c r="Z96" s="1166">
        <x:v>16.057014231508653</x:v>
      </x:c>
      <x:c r="AA96" s="842">
        <x:f t="shared" si="8"/>
        <x:v>0</x:v>
      </x:c>
    </x:row>
    <x:row r="97" spans="1:27" s="48" customFormat="1" ht="13.5">
      <x:c r="A97" s="58"/>
      <x:c r="B97" s="70"/>
      <x:c r="C97" s="240" t="s">
        <x:v>332</x:v>
      </x:c>
      <x:c r="D97" s="240"/>
      <x:c r="E97" s="240"/>
      <x:c r="F97" s="240" t="s">
        <x:v>354</x:v>
      </x:c>
      <x:c r="G97" s="241" t="s">
        <x:v>1038</x:v>
      </x:c>
      <x:c r="H97" s="240">
        <x:v>1</x:v>
      </x:c>
      <x:c r="I97" s="240" t="s">
        <x:v>1089</x:v>
      </x:c>
      <x:c r="J97" s="275">
        <x:v>21.851059614422361</x:v>
      </x:c>
      <x:c r="K97" s="275">
        <x:v>21.851059614422361</x:v>
      </x:c>
      <x:c r="L97" s="275">
        <x:v>21.851059614422361</x:v>
      </x:c>
      <x:c r="M97" s="275">
        <x:v>21.851059614422361</x:v>
      </x:c>
      <x:c r="N97" s="275">
        <x:v>21.851059614422361</x:v>
      </x:c>
      <x:c r="O97" s="275">
        <x:v>21.851059614422361</x:v>
      </x:c>
      <x:c r="P97" s="275">
        <x:v>21.851059614422361</x:v>
      </x:c>
      <x:c r="Q97" s="275">
        <x:v>21.851059614422361</x:v>
      </x:c>
      <x:c r="R97" s="275">
        <x:v>21.851059614422361</x:v>
      </x:c>
      <x:c r="S97" s="275">
        <x:v>21.851059614422361</x:v>
      </x:c>
      <x:c r="T97" s="275">
        <x:v>21.851059614422361</x:v>
      </x:c>
      <x:c r="U97" s="275">
        <x:v>21.851059614422361</x:v>
      </x:c>
      <x:c r="V97" s="99"/>
      <x:c r="W97" s="1046"/>
      <x:c r="X97" s="842"/>
      <x:c r="Y97" s="842"/>
      <x:c r="Z97" s="1166">
        <x:v>21.851059614422361</x:v>
      </x:c>
      <x:c r="AA97" s="842">
        <x:f t="shared" si="8"/>
        <x:v>0</x:v>
      </x:c>
    </x:row>
    <x:row r="98" spans="1:27" s="48" customFormat="1" ht="13.5">
      <x:c r="A98" s="58"/>
      <x:c r="B98" s="70"/>
      <x:c r="C98" s="240" t="s">
        <x:v>332</x:v>
      </x:c>
      <x:c r="D98" s="240"/>
      <x:c r="E98" s="240"/>
      <x:c r="F98" s="240" t="s">
        <x:v>355</x:v>
      </x:c>
      <x:c r="G98" s="241" t="s">
        <x:v>1039</x:v>
      </x:c>
      <x:c r="H98" s="240">
        <x:v>1</x:v>
      </x:c>
      <x:c r="I98" s="240" t="s">
        <x:v>1089</x:v>
      </x:c>
      <x:c r="J98" s="275">
        <x:v>14.817426097243585</x:v>
      </x:c>
      <x:c r="K98" s="275">
        <x:v>14.817426097243585</x:v>
      </x:c>
      <x:c r="L98" s="275">
        <x:v>14.817426097243585</x:v>
      </x:c>
      <x:c r="M98" s="275">
        <x:v>14.817426097243585</x:v>
      </x:c>
      <x:c r="N98" s="275">
        <x:v>14.817426097243585</x:v>
      </x:c>
      <x:c r="O98" s="275">
        <x:v>14.817426097243585</x:v>
      </x:c>
      <x:c r="P98" s="275">
        <x:v>14.817426097243585</x:v>
      </x:c>
      <x:c r="Q98" s="275">
        <x:v>14.817426097243585</x:v>
      </x:c>
      <x:c r="R98" s="275">
        <x:v>14.817426097243585</x:v>
      </x:c>
      <x:c r="S98" s="275">
        <x:v>14.817426097243585</x:v>
      </x:c>
      <x:c r="T98" s="275">
        <x:v>14.817426097243585</x:v>
      </x:c>
      <x:c r="U98" s="275">
        <x:v>14.817426097243585</x:v>
      </x:c>
      <x:c r="V98" s="99"/>
      <x:c r="W98" s="1046"/>
      <x:c r="X98" s="842"/>
      <x:c r="Y98" s="842"/>
      <x:c r="Z98" s="1166">
        <x:v>14.817426097243585</x:v>
      </x:c>
      <x:c r="AA98" s="842">
        <x:f t="shared" si="8"/>
        <x:v>0</x:v>
      </x:c>
    </x:row>
    <x:row r="99" spans="1:27" s="48" customFormat="1" ht="13.5">
      <x:c r="A99" s="58"/>
      <x:c r="B99" s="70"/>
      <x:c r="C99" s="240" t="s">
        <x:v>332</x:v>
      </x:c>
      <x:c r="D99" s="240"/>
      <x:c r="E99" s="240"/>
      <x:c r="F99" s="240" t="s">
        <x:v>356</x:v>
      </x:c>
      <x:c r="G99" s="241" t="s">
        <x:v>1040</x:v>
      </x:c>
      <x:c r="H99" s="240">
        <x:v>1</x:v>
      </x:c>
      <x:c r="I99" s="240" t="s">
        <x:v>1089</x:v>
      </x:c>
      <x:c r="J99" s="275">
        <x:v>18.343873891169796</x:v>
      </x:c>
      <x:c r="K99" s="275">
        <x:v>18.343873891169796</x:v>
      </x:c>
      <x:c r="L99" s="275">
        <x:v>18.343873891169796</x:v>
      </x:c>
      <x:c r="M99" s="275">
        <x:v>18.343873891169796</x:v>
      </x:c>
      <x:c r="N99" s="275">
        <x:v>18.343873891169796</x:v>
      </x:c>
      <x:c r="O99" s="275">
        <x:v>18.343873891169796</x:v>
      </x:c>
      <x:c r="P99" s="275">
        <x:v>18.343873891169796</x:v>
      </x:c>
      <x:c r="Q99" s="275">
        <x:v>18.343873891169796</x:v>
      </x:c>
      <x:c r="R99" s="275">
        <x:v>18.343873891169796</x:v>
      </x:c>
      <x:c r="S99" s="275">
        <x:v>18.343873891169796</x:v>
      </x:c>
      <x:c r="T99" s="275">
        <x:v>18.343873891169796</x:v>
      </x:c>
      <x:c r="U99" s="275">
        <x:v>18.343873891169796</x:v>
      </x:c>
      <x:c r="V99" s="99"/>
      <x:c r="W99" s="1046"/>
      <x:c r="X99" s="842"/>
      <x:c r="Y99" s="842"/>
      <x:c r="Z99" s="1166">
        <x:v>18.343873891169796</x:v>
      </x:c>
      <x:c r="AA99" s="842">
        <x:f t="shared" si="8"/>
        <x:v>0</x:v>
      </x:c>
    </x:row>
    <x:row r="100" spans="1:27" s="48" customFormat="1" ht="13.5">
      <x:c r="A100" s="58"/>
      <x:c r="B100" s="70"/>
      <x:c r="C100" s="240" t="s">
        <x:v>332</x:v>
      </x:c>
      <x:c r="D100" s="235"/>
      <x:c r="E100" s="235"/>
      <x:c r="F100" s="235" t="s">
        <x:v>357</x:v>
      </x:c>
      <x:c r="G100" s="236" t="s">
        <x:v>1041</x:v>
      </x:c>
      <x:c r="H100" s="235">
        <x:v>1</x:v>
      </x:c>
      <x:c r="I100" s="235" t="s">
        <x:v>1089</x:v>
      </x:c>
      <x:c r="J100" s="275">
        <x:v>9.7409429659468234</x:v>
      </x:c>
      <x:c r="K100" s="275">
        <x:v>9.7409429659468234</x:v>
      </x:c>
      <x:c r="L100" s="275">
        <x:v>9.7409429659468234</x:v>
      </x:c>
      <x:c r="M100" s="275">
        <x:v>9.7409429659468234</x:v>
      </x:c>
      <x:c r="N100" s="275">
        <x:v>9.7409429659468234</x:v>
      </x:c>
      <x:c r="O100" s="275">
        <x:v>9.7409429659468234</x:v>
      </x:c>
      <x:c r="P100" s="275">
        <x:v>9.7409429659468234</x:v>
      </x:c>
      <x:c r="Q100" s="275">
        <x:v>9.7409429659468234</x:v>
      </x:c>
      <x:c r="R100" s="275">
        <x:v>9.7409429659468234</x:v>
      </x:c>
      <x:c r="S100" s="275">
        <x:v>9.7409429659468234</x:v>
      </x:c>
      <x:c r="T100" s="275">
        <x:v>9.7409429659468234</x:v>
      </x:c>
      <x:c r="U100" s="275">
        <x:v>9.7409429659468234</x:v>
      </x:c>
      <x:c r="V100" s="99"/>
      <x:c r="W100" s="1046"/>
      <x:c r="X100" s="842"/>
      <x:c r="Y100" s="842"/>
      <x:c r="Z100" s="1166">
        <x:v>9.7409429659468234</x:v>
      </x:c>
      <x:c r="AA100" s="842">
        <x:f t="shared" si="8"/>
        <x:v>0</x:v>
      </x:c>
    </x:row>
    <x:row r="101" spans="1:27" s="48" customFormat="1" ht="13.5">
      <x:c r="A101" s="58"/>
      <x:c r="B101" s="70"/>
      <x:c r="C101" s="240" t="s">
        <x:v>332</x:v>
      </x:c>
      <x:c r="D101" s="61"/>
      <x:c r="E101" s="71"/>
      <x:c r="F101" s="72" t="s">
        <x:v>358</x:v>
      </x:c>
      <x:c r="G101" s="62" t="s">
        <x:v>359</x:v>
      </x:c>
      <x:c r="H101" s="73">
        <x:v>1</x:v>
      </x:c>
      <x:c r="I101" s="240" t="s">
        <x:v>1089</x:v>
      </x:c>
      <x:c r="J101" s="275">
        <x:v>20.249661284018273</x:v>
      </x:c>
      <x:c r="K101" s="275">
        <x:v>20.249661284018273</x:v>
      </x:c>
      <x:c r="L101" s="275">
        <x:v>20.249661284018273</x:v>
      </x:c>
      <x:c r="M101" s="275">
        <x:v>20.249661284018273</x:v>
      </x:c>
      <x:c r="N101" s="275">
        <x:v>20.249661284018273</x:v>
      </x:c>
      <x:c r="O101" s="275">
        <x:v>20.249661284018273</x:v>
      </x:c>
      <x:c r="P101" s="275">
        <x:v>20.249661284018273</x:v>
      </x:c>
      <x:c r="Q101" s="275">
        <x:v>20.249661284018273</x:v>
      </x:c>
      <x:c r="R101" s="275">
        <x:v>20.249661284018273</x:v>
      </x:c>
      <x:c r="S101" s="275">
        <x:v>20.249661284018273</x:v>
      </x:c>
      <x:c r="T101" s="275">
        <x:v>20.249661284018273</x:v>
      </x:c>
      <x:c r="U101" s="275">
        <x:v>20.249661284018273</x:v>
      </x:c>
      <x:c r="V101" s="104"/>
      <x:c r="W101" s="1046"/>
      <x:c r="X101" s="842"/>
      <x:c r="Y101" s="842"/>
      <x:c r="Z101" s="1166">
        <x:v>20.249661284018273</x:v>
      </x:c>
      <x:c r="AA101" s="842">
        <x:f t="shared" si="8"/>
        <x:v>0</x:v>
      </x:c>
    </x:row>
    <x:row r="102" spans="1:27" s="48" customFormat="1" ht="13.5">
      <x:c r="A102" s="58"/>
      <x:c r="B102" s="70"/>
      <x:c r="C102" s="240" t="s">
        <x:v>332</x:v>
      </x:c>
      <x:c r="D102" s="240"/>
      <x:c r="E102" s="244"/>
      <x:c r="F102" s="245" t="s">
        <x:v>360</x:v>
      </x:c>
      <x:c r="G102" s="241" t="s">
        <x:v>1042</x:v>
      </x:c>
      <x:c r="H102" s="246">
        <x:v>1</x:v>
      </x:c>
      <x:c r="I102" s="240" t="s">
        <x:v>1089</x:v>
      </x:c>
      <x:c r="J102" s="275">
        <x:v>15.798673088620964</x:v>
      </x:c>
      <x:c r="K102" s="275">
        <x:v>15.798673088620964</x:v>
      </x:c>
      <x:c r="L102" s="275">
        <x:v>15.798673088620964</x:v>
      </x:c>
      <x:c r="M102" s="275">
        <x:v>15.798673088620964</x:v>
      </x:c>
      <x:c r="N102" s="275">
        <x:v>15.798673088620964</x:v>
      </x:c>
      <x:c r="O102" s="275">
        <x:v>15.798673088620964</x:v>
      </x:c>
      <x:c r="P102" s="275">
        <x:v>15.798673088620964</x:v>
      </x:c>
      <x:c r="Q102" s="275">
        <x:v>15.798673088620964</x:v>
      </x:c>
      <x:c r="R102" s="275">
        <x:v>15.798673088620964</x:v>
      </x:c>
      <x:c r="S102" s="275">
        <x:v>15.798673088620964</x:v>
      </x:c>
      <x:c r="T102" s="275">
        <x:v>15.798673088620964</x:v>
      </x:c>
      <x:c r="U102" s="275">
        <x:v>15.798673088620964</x:v>
      </x:c>
      <x:c r="V102" s="103"/>
      <x:c r="W102" s="1046"/>
      <x:c r="X102" s="842"/>
      <x:c r="Y102" s="842"/>
      <x:c r="Z102" s="1166">
        <x:v>15.798673088620964</x:v>
      </x:c>
      <x:c r="AA102" s="842">
        <x:f t="shared" si="8"/>
        <x:v>0</x:v>
      </x:c>
    </x:row>
    <x:row r="103" spans="1:27" s="48" customFormat="1" ht="13.5">
      <x:c r="A103" s="58"/>
      <x:c r="B103" s="70"/>
      <x:c r="C103" s="240" t="s">
        <x:v>332</x:v>
      </x:c>
      <x:c r="D103" s="240"/>
      <x:c r="E103" s="240"/>
      <x:c r="F103" s="240" t="s">
        <x:v>361</x:v>
      </x:c>
      <x:c r="G103" s="241" t="s">
        <x:v>1043</x:v>
      </x:c>
      <x:c r="H103" s="240">
        <x:v>1</x:v>
      </x:c>
      <x:c r="I103" s="240" t="s">
        <x:v>1089</x:v>
      </x:c>
      <x:c r="J103" s="275">
        <x:v>21.167774483957388</x:v>
      </x:c>
      <x:c r="K103" s="275">
        <x:v>21.167774483957388</x:v>
      </x:c>
      <x:c r="L103" s="275">
        <x:v>21.167774483957388</x:v>
      </x:c>
      <x:c r="M103" s="275">
        <x:v>21.167774483957388</x:v>
      </x:c>
      <x:c r="N103" s="275">
        <x:v>21.167774483957388</x:v>
      </x:c>
      <x:c r="O103" s="275">
        <x:v>21.167774483957388</x:v>
      </x:c>
      <x:c r="P103" s="275">
        <x:v>21.167774483957388</x:v>
      </x:c>
      <x:c r="Q103" s="275">
        <x:v>21.167774483957388</x:v>
      </x:c>
      <x:c r="R103" s="275">
        <x:v>21.167774483957388</x:v>
      </x:c>
      <x:c r="S103" s="275">
        <x:v>21.167774483957388</x:v>
      </x:c>
      <x:c r="T103" s="275">
        <x:v>21.167774483957388</x:v>
      </x:c>
      <x:c r="U103" s="275">
        <x:v>21.167774483957388</x:v>
      </x:c>
      <x:c r="V103" s="103"/>
      <x:c r="W103" s="1046"/>
      <x:c r="X103" s="842"/>
      <x:c r="Y103" s="842"/>
      <x:c r="Z103" s="1166">
        <x:v>21.167774483957388</x:v>
      </x:c>
      <x:c r="AA103" s="842">
        <x:f t="shared" si="8"/>
        <x:v>0</x:v>
      </x:c>
    </x:row>
    <x:row r="104" spans="1:27" s="48" customFormat="1" ht="13.5">
      <x:c r="A104" s="58"/>
      <x:c r="B104" s="70"/>
      <x:c r="C104" s="240" t="s">
        <x:v>332</x:v>
      </x:c>
      <x:c r="D104" s="235"/>
      <x:c r="E104" s="235"/>
      <x:c r="F104" s="235" t="s">
        <x:v>362</x:v>
      </x:c>
      <x:c r="G104" s="236" t="s">
        <x:v>1044</x:v>
      </x:c>
      <x:c r="H104" s="235">
        <x:v>1</x:v>
      </x:c>
      <x:c r="I104" s="235" t="s">
        <x:v>1089</x:v>
      </x:c>
      <x:c r="J104" s="275">
        <x:v>21.949054390314174</x:v>
      </x:c>
      <x:c r="K104" s="275">
        <x:v>21.949054390314174</x:v>
      </x:c>
      <x:c r="L104" s="275">
        <x:v>21.949054390314174</x:v>
      </x:c>
      <x:c r="M104" s="275">
        <x:v>21.949054390314174</x:v>
      </x:c>
      <x:c r="N104" s="275">
        <x:v>21.949054390314174</x:v>
      </x:c>
      <x:c r="O104" s="275">
        <x:v>21.949054390314174</x:v>
      </x:c>
      <x:c r="P104" s="275">
        <x:v>21.949054390314174</x:v>
      </x:c>
      <x:c r="Q104" s="275">
        <x:v>21.949054390314174</x:v>
      </x:c>
      <x:c r="R104" s="275">
        <x:v>21.949054390314174</x:v>
      </x:c>
      <x:c r="S104" s="275">
        <x:v>21.949054390314174</x:v>
      </x:c>
      <x:c r="T104" s="275">
        <x:v>21.949054390314174</x:v>
      </x:c>
      <x:c r="U104" s="275">
        <x:v>21.949054390314174</x:v>
      </x:c>
      <x:c r="V104" s="99"/>
      <x:c r="W104" s="1046"/>
      <x:c r="X104" s="842"/>
      <x:c r="Y104" s="842"/>
      <x:c r="Z104" s="1166">
        <x:v>21.949054390314174</x:v>
      </x:c>
      <x:c r="AA104" s="842">
        <x:f t="shared" si="8"/>
        <x:v>0</x:v>
      </x:c>
    </x:row>
    <x:row r="105" spans="1:27" s="48" customFormat="1" ht="13.5">
      <x:c r="A105" s="844"/>
      <x:c r="B105" s="846"/>
      <x:c r="C105" s="240" t="s">
        <x:v>332</x:v>
      </x:c>
      <x:c r="D105" s="240"/>
      <x:c r="E105" s="240"/>
      <x:c r="F105" s="240" t="s">
        <x:v>351</x:v>
      </x:c>
      <x:c r="G105" s="236" t="s">
        <x:v>352</x:v>
      </x:c>
      <x:c r="H105" s="235">
        <x:v>1</x:v>
      </x:c>
      <x:c r="I105" s="235" t="s">
        <x:v>1089</x:v>
      </x:c>
      <x:c r="J105" s="275">
        <x:v>12.853932535905592</x:v>
      </x:c>
      <x:c r="K105" s="274">
        <x:v>12.853932535905592</x:v>
      </x:c>
      <x:c r="L105" s="274">
        <x:v>12.853932535905592</x:v>
      </x:c>
      <x:c r="M105" s="274">
        <x:v>12.853932535905592</x:v>
      </x:c>
      <x:c r="N105" s="274">
        <x:v>12.853932535905592</x:v>
      </x:c>
      <x:c r="O105" s="274">
        <x:v>12.853932535905592</x:v>
      </x:c>
      <x:c r="P105" s="274">
        <x:v>12.853932535905592</x:v>
      </x:c>
      <x:c r="Q105" s="274">
        <x:v>12.853932535905592</x:v>
      </x:c>
      <x:c r="R105" s="274">
        <x:v>12.853932535905592</x:v>
      </x:c>
      <x:c r="S105" s="274">
        <x:v>12.853932535905592</x:v>
      </x:c>
      <x:c r="T105" s="274">
        <x:v>12.853932535905592</x:v>
      </x:c>
      <x:c r="U105" s="274">
        <x:v>12.853932535905592</x:v>
      </x:c>
      <x:c r="V105" s="99"/>
      <x:c r="W105" s="1046"/>
      <x:c r="X105" s="847"/>
      <x:c r="Y105" s="842"/>
      <x:c r="Z105" s="1166">
        <x:v>12.853932535905592</x:v>
      </x:c>
      <x:c r="AA105" s="842">
        <x:f t="shared" si="8"/>
        <x:v>0</x:v>
      </x:c>
    </x:row>
    <x:row r="106" spans="1:27" s="48" customFormat="1" ht="13.5">
      <x:c r="A106" s="58"/>
      <x:c r="B106" s="66" t="s">
        <x:v>363</x:v>
      </x:c>
      <x:c r="C106" s="235" t="s">
        <x:v>332</x:v>
      </x:c>
      <x:c r="D106" s="235"/>
      <x:c r="E106" s="235"/>
      <x:c r="F106" s="235" t="s">
        <x:v>364</x:v>
      </x:c>
      <x:c r="G106" s="62" t="s">
        <x:v>1045</x:v>
      </x:c>
      <x:c r="H106" s="61">
        <x:v>1</x:v>
      </x:c>
      <x:c r="I106" s="61" t="s">
        <x:v>1089</x:v>
      </x:c>
      <x:c r="J106" s="277">
        <x:v>154.72102401933876</x:v>
      </x:c>
      <x:c r="K106" s="277">
        <x:v>154.72102401933876</x:v>
      </x:c>
      <x:c r="L106" s="277">
        <x:v>154.72102401933876</x:v>
      </x:c>
      <x:c r="M106" s="277">
        <x:v>154.72102401933876</x:v>
      </x:c>
      <x:c r="N106" s="277">
        <x:v>154.72102401933876</x:v>
      </x:c>
      <x:c r="O106" s="277">
        <x:v>154.72102401933876</x:v>
      </x:c>
      <x:c r="P106" s="277">
        <x:v>154.72102401933876</x:v>
      </x:c>
      <x:c r="Q106" s="277">
        <x:v>154.72102401933876</x:v>
      </x:c>
      <x:c r="R106" s="277">
        <x:v>154.72102401933876</x:v>
      </x:c>
      <x:c r="S106" s="277">
        <x:v>154.72102401933876</x:v>
      </x:c>
      <x:c r="T106" s="277">
        <x:v>154.72102401933876</x:v>
      </x:c>
      <x:c r="U106" s="277">
        <x:v>154.72102401933876</x:v>
      </x:c>
      <x:c r="V106" s="98"/>
      <x:c r="W106" s="1046" t="s">
        <x:v>365</x:v>
      </x:c>
      <x:c r="X106" s="842"/>
      <x:c r="Y106" s="842"/>
      <x:c r="Z106" s="1166">
        <x:v>154.72102401933876</x:v>
      </x:c>
      <x:c r="AA106" s="842">
        <x:f t="shared" si="8"/>
        <x:v>0</x:v>
      </x:c>
    </x:row>
    <x:row r="107" spans="1:27" s="48" customFormat="1" ht="13.5">
      <x:c r="A107" s="58"/>
      <x:c r="B107" s="70"/>
      <x:c r="C107" s="235" t="s">
        <x:v>332</x:v>
      </x:c>
      <x:c r="D107" s="235"/>
      <x:c r="E107" s="235"/>
      <x:c r="F107" s="235" t="s">
        <x:v>366</x:v>
      </x:c>
      <x:c r="G107" s="236" t="s">
        <x:v>1035</x:v>
      </x:c>
      <x:c r="H107" s="235">
        <x:v>1</x:v>
      </x:c>
      <x:c r="I107" s="235" t="s">
        <x:v>1089</x:v>
      </x:c>
      <x:c r="J107" s="277">
        <x:v>26.029999999999998</x:v>
      </x:c>
      <x:c r="K107" s="277">
        <x:v>26.029999999999998</x:v>
      </x:c>
      <x:c r="L107" s="277">
        <x:v>26.029999999999998</x:v>
      </x:c>
      <x:c r="M107" s="277">
        <x:v>26.029999999999998</x:v>
      </x:c>
      <x:c r="N107" s="277">
        <x:v>26.029999999999998</x:v>
      </x:c>
      <x:c r="O107" s="277">
        <x:v>26.029999999999998</x:v>
      </x:c>
      <x:c r="P107" s="277">
        <x:v>26.03</x:v>
      </x:c>
      <x:c r="Q107" s="277">
        <x:v>26.03</x:v>
      </x:c>
      <x:c r="R107" s="277">
        <x:v>26.03</x:v>
      </x:c>
      <x:c r="S107" s="277">
        <x:v>26.03</x:v>
      </x:c>
      <x:c r="T107" s="277">
        <x:v>26.03</x:v>
      </x:c>
      <x:c r="U107" s="277">
        <x:v>26.03</x:v>
      </x:c>
      <x:c r="V107" s="98"/>
      <x:c r="W107" s="1046"/>
      <x:c r="X107" s="842"/>
      <x:c r="Y107" s="842"/>
      <x:c r="Z107" s="1166">
        <x:v>26.029999999999998</x:v>
      </x:c>
      <x:c r="AA107" s="842">
        <x:f t="shared" si="8"/>
        <x:v>0</x:v>
      </x:c>
    </x:row>
    <x:row r="108" spans="1:27" s="48" customFormat="1" ht="13.5">
      <x:c r="A108" s="58"/>
      <x:c r="B108" s="70"/>
      <x:c r="C108" s="240" t="s">
        <x:v>332</x:v>
      </x:c>
      <x:c r="D108" s="240"/>
      <x:c r="E108" s="240"/>
      <x:c r="F108" s="240" t="s">
        <x:v>351</x:v>
      </x:c>
      <x:c r="G108" s="241" t="s">
        <x:v>1036</x:v>
      </x:c>
      <x:c r="H108" s="240">
        <x:v>1</x:v>
      </x:c>
      <x:c r="I108" s="240" t="s">
        <x:v>1089</x:v>
      </x:c>
      <x:c r="J108" s="275">
        <x:v>18.5163905500821</x:v>
      </x:c>
      <x:c r="K108" s="275">
        <x:v>18.5163905500821</x:v>
      </x:c>
      <x:c r="L108" s="275">
        <x:v>18.5163905500821</x:v>
      </x:c>
      <x:c r="M108" s="275">
        <x:v>18.5163905500821</x:v>
      </x:c>
      <x:c r="N108" s="275">
        <x:v>18.5163905500821</x:v>
      </x:c>
      <x:c r="O108" s="275">
        <x:v>18.5163905500821</x:v>
      </x:c>
      <x:c r="P108" s="275">
        <x:v>18.5163905500821</x:v>
      </x:c>
      <x:c r="Q108" s="275">
        <x:v>18.5163905500821</x:v>
      </x:c>
      <x:c r="R108" s="275">
        <x:v>18.5163905500821</x:v>
      </x:c>
      <x:c r="S108" s="275">
        <x:v>18.5163905500821</x:v>
      </x:c>
      <x:c r="T108" s="275">
        <x:v>18.5163905500821</x:v>
      </x:c>
      <x:c r="U108" s="275">
        <x:v>18.5163905500821</x:v>
      </x:c>
      <x:c r="V108" s="103"/>
      <x:c r="W108" s="1046"/>
      <x:c r="X108" s="847"/>
      <x:c r="Y108" s="842"/>
      <x:c r="Z108" s="1166">
        <x:v>18.5163905500821</x:v>
      </x:c>
      <x:c r="AA108" s="842">
        <x:f t="shared" si="8"/>
        <x:v>0</x:v>
      </x:c>
    </x:row>
    <x:row r="109" spans="1:27" s="48" customFormat="1" ht="13.5">
      <x:c r="A109" s="58"/>
      <x:c r="B109" s="70"/>
      <x:c r="C109" s="240" t="s">
        <x:v>332</x:v>
      </x:c>
      <x:c r="D109" s="240"/>
      <x:c r="E109" s="240"/>
      <x:c r="F109" s="240" t="s">
        <x:v>353</x:v>
      </x:c>
      <x:c r="G109" s="241" t="s">
        <x:v>1037</x:v>
      </x:c>
      <x:c r="H109" s="240">
        <x:v>3</x:v>
      </x:c>
      <x:c r="I109" s="240" t="s">
        <x:v>1089</x:v>
      </x:c>
      <x:c r="J109" s="275">
        <x:v>16.057014231508653</x:v>
      </x:c>
      <x:c r="K109" s="275">
        <x:v>16.057014231508653</x:v>
      </x:c>
      <x:c r="L109" s="275">
        <x:v>16.057014231508653</x:v>
      </x:c>
      <x:c r="M109" s="275">
        <x:v>16.057014231508653</x:v>
      </x:c>
      <x:c r="N109" s="275">
        <x:v>16.057014231508653</x:v>
      </x:c>
      <x:c r="O109" s="275">
        <x:v>16.057014231508653</x:v>
      </x:c>
      <x:c r="P109" s="275">
        <x:v>16.057014231508653</x:v>
      </x:c>
      <x:c r="Q109" s="275">
        <x:v>16.057014231508653</x:v>
      </x:c>
      <x:c r="R109" s="275">
        <x:v>16.057014231508653</x:v>
      </x:c>
      <x:c r="S109" s="275">
        <x:v>16.057014231508653</x:v>
      </x:c>
      <x:c r="T109" s="275">
        <x:v>16.057014231508653</x:v>
      </x:c>
      <x:c r="U109" s="275">
        <x:v>16.057014231508653</x:v>
      </x:c>
      <x:c r="V109" s="103"/>
      <x:c r="W109" s="1046"/>
      <x:c r="X109" s="842"/>
      <x:c r="Y109" s="842"/>
      <x:c r="Z109" s="1166">
        <x:v>16.057014231508653</x:v>
      </x:c>
      <x:c r="AA109" s="842">
        <x:f t="shared" si="8"/>
        <x:v>0</x:v>
      </x:c>
    </x:row>
    <x:row r="110" spans="1:27" s="48" customFormat="1" ht="13.5">
      <x:c r="A110" s="58"/>
      <x:c r="B110" s="70"/>
      <x:c r="C110" s="240" t="s">
        <x:v>332</x:v>
      </x:c>
      <x:c r="D110" s="240"/>
      <x:c r="E110" s="240"/>
      <x:c r="F110" s="240" t="s">
        <x:v>354</x:v>
      </x:c>
      <x:c r="G110" s="241" t="s">
        <x:v>1038</x:v>
      </x:c>
      <x:c r="H110" s="240">
        <x:v>1</x:v>
      </x:c>
      <x:c r="I110" s="240" t="s">
        <x:v>1089</x:v>
      </x:c>
      <x:c r="J110" s="275">
        <x:v>21.851059614422361</x:v>
      </x:c>
      <x:c r="K110" s="275">
        <x:v>21.851059614422361</x:v>
      </x:c>
      <x:c r="L110" s="275">
        <x:v>21.851059614422361</x:v>
      </x:c>
      <x:c r="M110" s="275">
        <x:v>21.851059614422361</x:v>
      </x:c>
      <x:c r="N110" s="275">
        <x:v>21.851059614422361</x:v>
      </x:c>
      <x:c r="O110" s="275">
        <x:v>21.851059614422361</x:v>
      </x:c>
      <x:c r="P110" s="275">
        <x:v>21.851059614422361</x:v>
      </x:c>
      <x:c r="Q110" s="275">
        <x:v>21.851059614422361</x:v>
      </x:c>
      <x:c r="R110" s="275">
        <x:v>21.851059614422361</x:v>
      </x:c>
      <x:c r="S110" s="275">
        <x:v>21.851059614422361</x:v>
      </x:c>
      <x:c r="T110" s="275">
        <x:v>21.851059614422361</x:v>
      </x:c>
      <x:c r="U110" s="275">
        <x:v>21.851059614422361</x:v>
      </x:c>
      <x:c r="V110" s="99"/>
      <x:c r="W110" s="1046"/>
      <x:c r="X110" s="842"/>
      <x:c r="Y110" s="842"/>
      <x:c r="Z110" s="1166">
        <x:v>21.851059614422361</x:v>
      </x:c>
      <x:c r="AA110" s="842">
        <x:f t="shared" si="8"/>
        <x:v>0</x:v>
      </x:c>
    </x:row>
    <x:row r="111" spans="1:27" s="48" customFormat="1" ht="13.5">
      <x:c r="A111" s="58"/>
      <x:c r="B111" s="70"/>
      <x:c r="C111" s="240" t="s">
        <x:v>332</x:v>
      </x:c>
      <x:c r="D111" s="240"/>
      <x:c r="E111" s="240"/>
      <x:c r="F111" s="240" t="s">
        <x:v>355</x:v>
      </x:c>
      <x:c r="G111" s="241" t="s">
        <x:v>1039</x:v>
      </x:c>
      <x:c r="H111" s="240">
        <x:v>1</x:v>
      </x:c>
      <x:c r="I111" s="240" t="s">
        <x:v>1089</x:v>
      </x:c>
      <x:c r="J111" s="275">
        <x:v>14.817426097243585</x:v>
      </x:c>
      <x:c r="K111" s="275">
        <x:v>14.817426097243585</x:v>
      </x:c>
      <x:c r="L111" s="275">
        <x:v>14.817426097243585</x:v>
      </x:c>
      <x:c r="M111" s="275">
        <x:v>14.817426097243585</x:v>
      </x:c>
      <x:c r="N111" s="275">
        <x:v>14.817426097243585</x:v>
      </x:c>
      <x:c r="O111" s="275">
        <x:v>14.817426097243585</x:v>
      </x:c>
      <x:c r="P111" s="275">
        <x:v>14.817426097243585</x:v>
      </x:c>
      <x:c r="Q111" s="275">
        <x:v>14.817426097243585</x:v>
      </x:c>
      <x:c r="R111" s="275">
        <x:v>14.817426097243585</x:v>
      </x:c>
      <x:c r="S111" s="275">
        <x:v>14.817426097243585</x:v>
      </x:c>
      <x:c r="T111" s="275">
        <x:v>14.817426097243585</x:v>
      </x:c>
      <x:c r="U111" s="275">
        <x:v>14.817426097243585</x:v>
      </x:c>
      <x:c r="V111" s="99"/>
      <x:c r="W111" s="1046"/>
      <x:c r="X111" s="842"/>
      <x:c r="Y111" s="842"/>
      <x:c r="Z111" s="1166">
        <x:v>14.817426097243585</x:v>
      </x:c>
      <x:c r="AA111" s="842">
        <x:f t="shared" si="8"/>
        <x:v>0</x:v>
      </x:c>
    </x:row>
    <x:row r="112" spans="1:27" s="48" customFormat="1" ht="13.5">
      <x:c r="A112" s="58"/>
      <x:c r="B112" s="70"/>
      <x:c r="C112" s="240" t="s">
        <x:v>332</x:v>
      </x:c>
      <x:c r="D112" s="240"/>
      <x:c r="E112" s="240"/>
      <x:c r="F112" s="240" t="s">
        <x:v>356</x:v>
      </x:c>
      <x:c r="G112" s="241" t="s">
        <x:v>1040</x:v>
      </x:c>
      <x:c r="H112" s="240">
        <x:v>1</x:v>
      </x:c>
      <x:c r="I112" s="240" t="s">
        <x:v>1089</x:v>
      </x:c>
      <x:c r="J112" s="275">
        <x:v>18.343873891169796</x:v>
      </x:c>
      <x:c r="K112" s="275">
        <x:v>18.343873891169796</x:v>
      </x:c>
      <x:c r="L112" s="275">
        <x:v>18.343873891169796</x:v>
      </x:c>
      <x:c r="M112" s="275">
        <x:v>18.343873891169796</x:v>
      </x:c>
      <x:c r="N112" s="275">
        <x:v>18.343873891169796</x:v>
      </x:c>
      <x:c r="O112" s="275">
        <x:v>18.343873891169796</x:v>
      </x:c>
      <x:c r="P112" s="275">
        <x:v>18.343873891169796</x:v>
      </x:c>
      <x:c r="Q112" s="275">
        <x:v>18.343873891169796</x:v>
      </x:c>
      <x:c r="R112" s="275">
        <x:v>18.343873891169796</x:v>
      </x:c>
      <x:c r="S112" s="275">
        <x:v>18.343873891169796</x:v>
      </x:c>
      <x:c r="T112" s="275">
        <x:v>18.343873891169796</x:v>
      </x:c>
      <x:c r="U112" s="275">
        <x:v>18.343873891169796</x:v>
      </x:c>
      <x:c r="V112" s="99"/>
      <x:c r="W112" s="1046"/>
      <x:c r="X112" s="842"/>
      <x:c r="Y112" s="842"/>
      <x:c r="Z112" s="1166">
        <x:v>18.343873891169796</x:v>
      </x:c>
      <x:c r="AA112" s="842">
        <x:f t="shared" si="8"/>
        <x:v>0</x:v>
      </x:c>
    </x:row>
    <x:row r="113" spans="1:27" s="48" customFormat="1" ht="13.5">
      <x:c r="A113" s="58"/>
      <x:c r="B113" s="70"/>
      <x:c r="C113" s="240" t="s">
        <x:v>332</x:v>
      </x:c>
      <x:c r="D113" s="235"/>
      <x:c r="E113" s="235"/>
      <x:c r="F113" s="235" t="s">
        <x:v>357</x:v>
      </x:c>
      <x:c r="G113" s="236" t="s">
        <x:v>1041</x:v>
      </x:c>
      <x:c r="H113" s="235">
        <x:v>1</x:v>
      </x:c>
      <x:c r="I113" s="235" t="s">
        <x:v>1089</x:v>
      </x:c>
      <x:c r="J113" s="275">
        <x:v>9.7409429659468234</x:v>
      </x:c>
      <x:c r="K113" s="275">
        <x:v>9.7409429659468234</x:v>
      </x:c>
      <x:c r="L113" s="275">
        <x:v>9.7409429659468234</x:v>
      </x:c>
      <x:c r="M113" s="275">
        <x:v>9.7409429659468234</x:v>
      </x:c>
      <x:c r="N113" s="275">
        <x:v>9.7409429659468234</x:v>
      </x:c>
      <x:c r="O113" s="275">
        <x:v>9.7409429659468234</x:v>
      </x:c>
      <x:c r="P113" s="275">
        <x:v>9.7409429659468234</x:v>
      </x:c>
      <x:c r="Q113" s="275">
        <x:v>9.7409429659468234</x:v>
      </x:c>
      <x:c r="R113" s="275">
        <x:v>9.7409429659468234</x:v>
      </x:c>
      <x:c r="S113" s="275">
        <x:v>9.7409429659468234</x:v>
      </x:c>
      <x:c r="T113" s="275">
        <x:v>9.7409429659468234</x:v>
      </x:c>
      <x:c r="U113" s="275">
        <x:v>9.7409429659468234</x:v>
      </x:c>
      <x:c r="V113" s="99"/>
      <x:c r="W113" s="1046"/>
      <x:c r="X113" s="842"/>
      <x:c r="Y113" s="842"/>
      <x:c r="Z113" s="1166">
        <x:v>9.7409429659468234</x:v>
      </x:c>
      <x:c r="AA113" s="842">
        <x:f t="shared" si="8"/>
        <x:v>0</x:v>
      </x:c>
    </x:row>
    <x:row r="114" spans="1:27" s="48" customFormat="1" ht="13.5">
      <x:c r="A114" s="58"/>
      <x:c r="B114" s="70"/>
      <x:c r="C114" s="240" t="s">
        <x:v>332</x:v>
      </x:c>
      <x:c r="D114" s="61"/>
      <x:c r="E114" s="71"/>
      <x:c r="F114" s="72" t="s">
        <x:v>358</x:v>
      </x:c>
      <x:c r="G114" s="62" t="s">
        <x:v>359</x:v>
      </x:c>
      <x:c r="H114" s="73">
        <x:v>1</x:v>
      </x:c>
      <x:c r="I114" s="240" t="s">
        <x:v>1089</x:v>
      </x:c>
      <x:c r="J114" s="275">
        <x:v>20.249661284018273</x:v>
      </x:c>
      <x:c r="K114" s="275">
        <x:v>20.249661284018273</x:v>
      </x:c>
      <x:c r="L114" s="275">
        <x:v>20.249661284018273</x:v>
      </x:c>
      <x:c r="M114" s="275">
        <x:v>20.249661284018273</x:v>
      </x:c>
      <x:c r="N114" s="275">
        <x:v>20.249661284018273</x:v>
      </x:c>
      <x:c r="O114" s="275">
        <x:v>20.249661284018273</x:v>
      </x:c>
      <x:c r="P114" s="275">
        <x:v>20.249661284018273</x:v>
      </x:c>
      <x:c r="Q114" s="275">
        <x:v>20.249661284018273</x:v>
      </x:c>
      <x:c r="R114" s="275">
        <x:v>20.249661284018273</x:v>
      </x:c>
      <x:c r="S114" s="275">
        <x:v>20.249661284018273</x:v>
      </x:c>
      <x:c r="T114" s="275">
        <x:v>20.249661284018273</x:v>
      </x:c>
      <x:c r="U114" s="275">
        <x:v>20.249661284018273</x:v>
      </x:c>
      <x:c r="V114" s="104"/>
      <x:c r="W114" s="1046"/>
      <x:c r="X114" s="842"/>
      <x:c r="Y114" s="842"/>
      <x:c r="Z114" s="1166">
        <x:v>20.249661284018273</x:v>
      </x:c>
      <x:c r="AA114" s="842">
        <x:f t="shared" si="8"/>
        <x:v>0</x:v>
      </x:c>
    </x:row>
    <x:row r="115" spans="1:27" s="48" customFormat="1" ht="13.5">
      <x:c r="A115" s="58"/>
      <x:c r="B115" s="70"/>
      <x:c r="C115" s="240" t="s">
        <x:v>332</x:v>
      </x:c>
      <x:c r="D115" s="240"/>
      <x:c r="E115" s="244"/>
      <x:c r="F115" s="245" t="s">
        <x:v>360</x:v>
      </x:c>
      <x:c r="G115" s="241" t="s">
        <x:v>1042</x:v>
      </x:c>
      <x:c r="H115" s="246">
        <x:v>1</x:v>
      </x:c>
      <x:c r="I115" s="240" t="s">
        <x:v>1089</x:v>
      </x:c>
      <x:c r="J115" s="275">
        <x:v>15.798673088620964</x:v>
      </x:c>
      <x:c r="K115" s="275">
        <x:v>15.798673088620964</x:v>
      </x:c>
      <x:c r="L115" s="275">
        <x:v>15.798673088620964</x:v>
      </x:c>
      <x:c r="M115" s="275">
        <x:v>15.798673088620964</x:v>
      </x:c>
      <x:c r="N115" s="275">
        <x:v>15.798673088620964</x:v>
      </x:c>
      <x:c r="O115" s="275">
        <x:v>15.798673088620964</x:v>
      </x:c>
      <x:c r="P115" s="275">
        <x:v>15.798673088620964</x:v>
      </x:c>
      <x:c r="Q115" s="275">
        <x:v>15.798673088620964</x:v>
      </x:c>
      <x:c r="R115" s="275">
        <x:v>15.798673088620964</x:v>
      </x:c>
      <x:c r="S115" s="275">
        <x:v>15.798673088620964</x:v>
      </x:c>
      <x:c r="T115" s="275">
        <x:v>15.798673088620964</x:v>
      </x:c>
      <x:c r="U115" s="275">
        <x:v>15.798673088620964</x:v>
      </x:c>
      <x:c r="V115" s="103"/>
      <x:c r="W115" s="1046"/>
      <x:c r="X115" s="842"/>
      <x:c r="Y115" s="842"/>
      <x:c r="Z115" s="1166">
        <x:v>15.798673088620964</x:v>
      </x:c>
      <x:c r="AA115" s="842">
        <x:f t="shared" si="8"/>
        <x:v>0</x:v>
      </x:c>
    </x:row>
    <x:row r="116" spans="1:27" s="48" customFormat="1" ht="13.5">
      <x:c r="A116" s="58"/>
      <x:c r="B116" s="70"/>
      <x:c r="C116" s="240" t="s">
        <x:v>332</x:v>
      </x:c>
      <x:c r="D116" s="240"/>
      <x:c r="E116" s="240"/>
      <x:c r="F116" s="240" t="s">
        <x:v>361</x:v>
      </x:c>
      <x:c r="G116" s="241" t="s">
        <x:v>1043</x:v>
      </x:c>
      <x:c r="H116" s="240">
        <x:v>1</x:v>
      </x:c>
      <x:c r="I116" s="240" t="s">
        <x:v>1089</x:v>
      </x:c>
      <x:c r="J116" s="275">
        <x:v>21.167774483957388</x:v>
      </x:c>
      <x:c r="K116" s="275">
        <x:v>21.167774483957388</x:v>
      </x:c>
      <x:c r="L116" s="275">
        <x:v>21.167774483957388</x:v>
      </x:c>
      <x:c r="M116" s="275">
        <x:v>21.167774483957388</x:v>
      </x:c>
      <x:c r="N116" s="275">
        <x:v>21.167774483957388</x:v>
      </x:c>
      <x:c r="O116" s="275">
        <x:v>21.167774483957388</x:v>
      </x:c>
      <x:c r="P116" s="275">
        <x:v>21.167774483957388</x:v>
      </x:c>
      <x:c r="Q116" s="275">
        <x:v>21.167774483957388</x:v>
      </x:c>
      <x:c r="R116" s="275">
        <x:v>21.167774483957388</x:v>
      </x:c>
      <x:c r="S116" s="275">
        <x:v>21.167774483957388</x:v>
      </x:c>
      <x:c r="T116" s="275">
        <x:v>21.167774483957388</x:v>
      </x:c>
      <x:c r="U116" s="275">
        <x:v>21.167774483957388</x:v>
      </x:c>
      <x:c r="V116" s="103"/>
      <x:c r="W116" s="1046"/>
      <x:c r="X116" s="842"/>
      <x:c r="Y116" s="842"/>
      <x:c r="Z116" s="1166">
        <x:v>21.167774483957388</x:v>
      </x:c>
      <x:c r="AA116" s="842">
        <x:f t="shared" si="8"/>
        <x:v>0</x:v>
      </x:c>
    </x:row>
    <x:row r="117" spans="1:27" s="48" customFormat="1" ht="13.5">
      <x:c r="A117" s="58"/>
      <x:c r="B117" s="70"/>
      <x:c r="C117" s="240" t="s">
        <x:v>332</x:v>
      </x:c>
      <x:c r="D117" s="240"/>
      <x:c r="E117" s="240"/>
      <x:c r="F117" s="240" t="s">
        <x:v>362</x:v>
      </x:c>
      <x:c r="G117" s="241" t="s">
        <x:v>1044</x:v>
      </x:c>
      <x:c r="H117" s="235">
        <x:v>1</x:v>
      </x:c>
      <x:c r="I117" s="240" t="s">
        <x:v>1089</x:v>
      </x:c>
      <x:c r="J117" s="275">
        <x:v>21.949054390314174</x:v>
      </x:c>
      <x:c r="K117" s="275">
        <x:v>21.949054390314174</x:v>
      </x:c>
      <x:c r="L117" s="275">
        <x:v>21.949054390314174</x:v>
      </x:c>
      <x:c r="M117" s="275">
        <x:v>21.949054390314174</x:v>
      </x:c>
      <x:c r="N117" s="275">
        <x:v>21.949054390314174</x:v>
      </x:c>
      <x:c r="O117" s="275">
        <x:v>21.949054390314174</x:v>
      </x:c>
      <x:c r="P117" s="275">
        <x:v>21.949054390314174</x:v>
      </x:c>
      <x:c r="Q117" s="275">
        <x:v>21.949054390314174</x:v>
      </x:c>
      <x:c r="R117" s="275">
        <x:v>21.949054390314174</x:v>
      </x:c>
      <x:c r="S117" s="275">
        <x:v>21.949054390314174</x:v>
      </x:c>
      <x:c r="T117" s="275">
        <x:v>21.949054390314174</x:v>
      </x:c>
      <x:c r="U117" s="275">
        <x:v>21.949054390314174</x:v>
      </x:c>
      <x:c r="V117" s="103"/>
      <x:c r="W117" s="1067"/>
      <x:c r="X117" s="842"/>
      <x:c r="Y117" s="842"/>
      <x:c r="Z117" s="1166">
        <x:v>21.949054390314174</x:v>
      </x:c>
      <x:c r="AA117" s="842">
        <x:f t="shared" si="8"/>
        <x:v>0</x:v>
      </x:c>
    </x:row>
    <x:row r="118" spans="1:27" s="48" customFormat="1" ht="13.5">
      <x:c r="A118" s="76"/>
      <x:c r="B118" s="75"/>
      <x:c r="C118" s="1143" t="s">
        <x:v>332</x:v>
      </x:c>
      <x:c r="D118" s="240"/>
      <x:c r="E118" s="240"/>
      <x:c r="F118" s="843" t="s">
        <x:v>362</x:v>
      </x:c>
      <x:c r="G118" s="241" t="s">
        <x:v>352</x:v>
      </x:c>
      <x:c r="H118" s="240">
        <x:v>1</x:v>
      </x:c>
      <x:c r="I118" s="240" t="s">
        <x:v>1089</x:v>
      </x:c>
      <x:c r="J118" s="274">
        <x:v>12.853932535905592</x:v>
      </x:c>
      <x:c r="K118" s="274">
        <x:v>12.853932535905592</x:v>
      </x:c>
      <x:c r="L118" s="274">
        <x:v>12.853932535905592</x:v>
      </x:c>
      <x:c r="M118" s="274">
        <x:v>12.853932535905592</x:v>
      </x:c>
      <x:c r="N118" s="274">
        <x:v>12.853932535905592</x:v>
      </x:c>
      <x:c r="O118" s="274">
        <x:v>12.853932535905592</x:v>
      </x:c>
      <x:c r="P118" s="274">
        <x:v>12.853932535905599</x:v>
      </x:c>
      <x:c r="Q118" s="274">
        <x:v>12.853932535905599</x:v>
      </x:c>
      <x:c r="R118" s="274">
        <x:v>12.853932535905599</x:v>
      </x:c>
      <x:c r="S118" s="274">
        <x:v>12.853932535905599</x:v>
      </x:c>
      <x:c r="T118" s="274">
        <x:v>12.853932535905599</x:v>
      </x:c>
      <x:c r="U118" s="274">
        <x:v>12.853932535905599</x:v>
      </x:c>
      <x:c r="V118" s="99"/>
      <x:c r="W118" s="1046"/>
      <x:c r="X118" s="849"/>
      <x:c r="Y118" s="842"/>
      <x:c r="Z118" s="1166">
        <x:v>12.853932535905592</x:v>
      </x:c>
      <x:c r="AA118" s="842">
        <x:f t="shared" si="8"/>
        <x:v>0</x:v>
      </x:c>
    </x:row>
    <x:row r="119" spans="1:27" s="48" customFormat="1" ht="13.5">
      <x:c r="A119" s="76"/>
      <x:c r="B119" s="70" t="s">
        <x:v>367</x:v>
      </x:c>
      <x:c r="C119" s="67" t="s">
        <x:v>332</x:v>
      </x:c>
      <x:c r="D119" s="235"/>
      <x:c r="E119" s="235"/>
      <x:c r="F119" s="235" t="s">
        <x:v>368</x:v>
      </x:c>
      <x:c r="G119" s="68" t="s">
        <x:v>369</x:v>
      </x:c>
      <x:c r="H119" s="67">
        <x:v>2</x:v>
      </x:c>
      <x:c r="I119" s="235" t="s">
        <x:v>1089</x:v>
      </x:c>
      <x:c r="J119" s="278">
        <x:v>11.646999999999998</x:v>
      </x:c>
      <x:c r="K119" s="102">
        <x:v>11.646999999999998</x:v>
      </x:c>
      <x:c r="L119" s="102">
        <x:v>11.646999999999998</x:v>
      </x:c>
      <x:c r="M119" s="102">
        <x:v>11.646999999999998</x:v>
      </x:c>
      <x:c r="N119" s="102">
        <x:v>11.646999999999998</x:v>
      </x:c>
      <x:c r="O119" s="102">
        <x:v>11.646999999999998</x:v>
      </x:c>
      <x:c r="P119" s="102">
        <x:v>11.646999999999998</x:v>
      </x:c>
      <x:c r="Q119" s="102">
        <x:v>11.646999999999998</x:v>
      </x:c>
      <x:c r="R119" s="102">
        <x:v>11.646999999999998</x:v>
      </x:c>
      <x:c r="S119" s="102">
        <x:v>11.646999999999998</x:v>
      </x:c>
      <x:c r="T119" s="102">
        <x:v>11.646999999999998</x:v>
      </x:c>
      <x:c r="U119" s="102">
        <x:v>11.646999999999998</x:v>
      </x:c>
      <x:c r="V119" s="105"/>
      <x:c r="W119" s="1052"/>
      <x:c r="X119" s="842"/>
      <x:c r="Y119" s="842"/>
      <x:c r="Z119" s="1166">
        <x:v>11.646999999999998</x:v>
      </x:c>
      <x:c r="AA119" s="842">
        <x:f t="shared" si="8"/>
        <x:v>0</x:v>
      </x:c>
    </x:row>
    <x:row r="120" spans="1:27" s="48" customFormat="1" ht="13.5">
      <x:c r="A120" s="76"/>
      <x:c r="B120" s="70"/>
      <x:c r="C120" s="1165" t="s">
        <x:v>332</x:v>
      </x:c>
      <x:c r="D120" s="1135"/>
      <x:c r="E120" s="1135"/>
      <x:c r="F120" s="1135" t="str">
        <x:f>F119</x:f>
        <x:v>BUS BAR ASY - ARRAY 4 POS TO ARRAY 5 NEG</x:v>
      </x:c>
      <x:c r="G120" s="1136" t="s">
        <x:v>369</x:v>
      </x:c>
      <x:c r="H120" s="1135">
        <x:v>1</x:v>
      </x:c>
      <x:c r="I120" s="1135" t="str">
        <x:f>+I119</x:f>
        <x:v>터키 현지 외주</x:v>
      </x:c>
      <x:c r="J120" s="1157">
        <x:v>11.646999999999998</x:v>
      </x:c>
      <x:c r="K120" s="1157">
        <x:v>11.646999999999998</x:v>
      </x:c>
      <x:c r="L120" s="1157">
        <x:v>11.646999999999998</x:v>
      </x:c>
      <x:c r="M120" s="1157">
        <x:v>11.646999999999998</x:v>
      </x:c>
      <x:c r="N120" s="1157">
        <x:v>11.646999999999998</x:v>
      </x:c>
      <x:c r="O120" s="1157">
        <x:v>11.646999999999998</x:v>
      </x:c>
      <x:c r="P120" s="1157">
        <x:v>11.646999999999998</x:v>
      </x:c>
      <x:c r="Q120" s="1157">
        <x:v>11.646999999999998</x:v>
      </x:c>
      <x:c r="R120" s="1157">
        <x:v>11.646999999999998</x:v>
      </x:c>
      <x:c r="S120" s="1157">
        <x:v>11.646999999999998</x:v>
      </x:c>
      <x:c r="T120" s="1157">
        <x:v>11.646999999999998</x:v>
      </x:c>
      <x:c r="U120" s="1157">
        <x:v>11.646999999999998</x:v>
      </x:c>
      <x:c r="V120" s="105"/>
      <x:c r="W120" s="1174">
        <x:f>+U120/U$119</x:f>
        <x:v>1</x:v>
      </x:c>
      <x:c r="X120" s="842"/>
      <x:c r="Y120" s="842"/>
      <x:c r="Z120" s="1166">
        <x:v>11.646999999999998</x:v>
      </x:c>
      <x:c r="AA120" s="842">
        <x:f t="shared" si="8"/>
        <x:v>0</x:v>
      </x:c>
    </x:row>
    <x:row r="121" spans="1:27" s="48" customFormat="1" ht="13.5">
      <x:c r="A121" s="76"/>
      <x:c r="B121" s="70"/>
      <x:c r="C121" s="1165" t="s">
        <x:v>332</x:v>
      </x:c>
      <x:c r="D121" s="1135"/>
      <x:c r="E121" s="1135"/>
      <x:c r="F121" s="1135" t="str">
        <x:f>F120</x:f>
        <x:v>BUS BAR ASY - ARRAY 4 POS TO ARRAY 5 NEG</x:v>
      </x:c>
      <x:c r="G121" s="1136" t="s">
        <x:v>1517</x:v>
      </x:c>
      <x:c r="H121" s="1135">
        <x:v>1</x:v>
      </x:c>
      <x:c r="I121" s="1135" t="str">
        <x:f>+I120</x:f>
        <x:v>터키 현지 외주</x:v>
      </x:c>
      <x:c r="J121" s="1157">
        <x:v>15.61</x:v>
      </x:c>
      <x:c r="K121" s="1157">
        <x:v>15.61</x:v>
      </x:c>
      <x:c r="L121" s="1157">
        <x:v>15.61</x:v>
      </x:c>
      <x:c r="M121" s="1157">
        <x:v>15.61</x:v>
      </x:c>
      <x:c r="N121" s="1157">
        <x:v>15.61</x:v>
      </x:c>
      <x:c r="O121" s="1157">
        <x:v>15.61</x:v>
      </x:c>
      <x:c r="P121" s="1157">
        <x:v>15.61</x:v>
      </x:c>
      <x:c r="Q121" s="1157">
        <x:v>15.61</x:v>
      </x:c>
      <x:c r="R121" s="1157">
        <x:v>15.61</x:v>
      </x:c>
      <x:c r="S121" s="1157">
        <x:v>15.61</x:v>
      </x:c>
      <x:c r="T121" s="1157">
        <x:v>15.61</x:v>
      </x:c>
      <x:c r="U121" s="1157">
        <x:v>15.61</x:v>
      </x:c>
      <x:c r="V121" s="105"/>
      <x:c r="W121" s="1175">
        <x:f>+U121/U$119</x:f>
        <x:v>1.3402592942388598</x:v>
      </x:c>
      <x:c r="X121" s="842"/>
      <x:c r="Y121" s="842"/>
      <x:c r="Z121" s="1166">
        <x:v>15.61</x:v>
      </x:c>
      <x:c r="AA121" s="842">
        <x:f t="shared" si="8"/>
        <x:v>0</x:v>
      </x:c>
    </x:row>
    <x:row r="122" spans="1:27" s="48" customFormat="1" ht="13.5">
      <x:c r="A122" s="76"/>
      <x:c r="B122" s="70"/>
      <x:c r="C122" s="235" t="s">
        <x:v>332</x:v>
      </x:c>
      <x:c r="D122" s="235"/>
      <x:c r="E122" s="235"/>
      <x:c r="F122" s="235" t="s">
        <x:v>370</x:v>
      </x:c>
      <x:c r="G122" s="236" t="s">
        <x:v>371</x:v>
      </x:c>
      <x:c r="H122" s="235">
        <x:v>2</x:v>
      </x:c>
      <x:c r="I122" s="235" t="s">
        <x:v>1089</x:v>
      </x:c>
      <x:c r="J122" s="278">
        <x:v>13.0435</x:v>
      </x:c>
      <x:c r="K122" s="102">
        <x:v>13.0435</x:v>
      </x:c>
      <x:c r="L122" s="102">
        <x:v>13.0435</x:v>
      </x:c>
      <x:c r="M122" s="102">
        <x:v>13.0435</x:v>
      </x:c>
      <x:c r="N122" s="102">
        <x:v>13.0435</x:v>
      </x:c>
      <x:c r="O122" s="102">
        <x:v>13.0435</x:v>
      </x:c>
      <x:c r="P122" s="102">
        <x:v>13.0435</x:v>
      </x:c>
      <x:c r="Q122" s="102">
        <x:v>13.0435</x:v>
      </x:c>
      <x:c r="R122" s="102">
        <x:v>13.0435</x:v>
      </x:c>
      <x:c r="S122" s="102">
        <x:v>13.0435</x:v>
      </x:c>
      <x:c r="T122" s="102">
        <x:v>13.0435</x:v>
      </x:c>
      <x:c r="U122" s="102">
        <x:v>13.0435</x:v>
      </x:c>
      <x:c r="V122" s="99"/>
      <x:c r="W122" s="1046"/>
      <x:c r="X122" s="842"/>
      <x:c r="Y122" s="842"/>
      <x:c r="Z122" s="1166">
        <x:v>13.0435</x:v>
      </x:c>
      <x:c r="AA122" s="842">
        <x:f t="shared" si="8"/>
        <x:v>0</x:v>
      </x:c>
    </x:row>
    <x:row r="123" spans="1:27" s="48" customFormat="1" ht="13.5">
      <x:c r="A123" s="76"/>
      <x:c r="B123" s="70"/>
      <x:c r="C123" s="1165" t="s">
        <x:v>332</x:v>
      </x:c>
      <x:c r="D123" s="1143"/>
      <x:c r="E123" s="1143"/>
      <x:c r="F123" s="1143" t="str">
        <x:f>+F122</x:f>
        <x:v>BUS BAR ASY – COMMON BUSBAR ARRAY 3-2, 2-1</x:v>
      </x:c>
      <x:c r="G123" s="1144" t="s">
        <x:v>1518</x:v>
      </x:c>
      <x:c r="H123" s="1143">
        <x:v>2</x:v>
      </x:c>
      <x:c r="I123" s="1143" t="str">
        <x:f>+I122</x:f>
        <x:v>터키 현지 외주</x:v>
      </x:c>
      <x:c r="J123" s="1157">
        <x:v>18</x:v>
      </x:c>
      <x:c r="K123" s="1157">
        <x:v>18</x:v>
      </x:c>
      <x:c r="L123" s="1157">
        <x:v>18</x:v>
      </x:c>
      <x:c r="M123" s="1157">
        <x:v>18</x:v>
      </x:c>
      <x:c r="N123" s="1157">
        <x:v>18</x:v>
      </x:c>
      <x:c r="O123" s="1157">
        <x:v>18</x:v>
      </x:c>
      <x:c r="P123" s="1157">
        <x:v>18</x:v>
      </x:c>
      <x:c r="Q123" s="1157">
        <x:v>18</x:v>
      </x:c>
      <x:c r="R123" s="1157">
        <x:v>18</x:v>
      </x:c>
      <x:c r="S123" s="1157">
        <x:v>18</x:v>
      </x:c>
      <x:c r="T123" s="1157">
        <x:v>18</x:v>
      </x:c>
      <x:c r="U123" s="1157">
        <x:v>18</x:v>
      </x:c>
      <x:c r="V123" s="1158"/>
      <x:c r="W123" s="1176">
        <x:f>+U123/U122</x:f>
        <x:v>1.3799977000038333</x:v>
      </x:c>
      <x:c r="X123" s="842"/>
      <x:c r="Y123" s="842"/>
      <x:c r="Z123" s="1166">
        <x:v>18</x:v>
      </x:c>
      <x:c r="AA123" s="842">
        <x:f t="shared" si="8"/>
        <x:v>0</x:v>
      </x:c>
    </x:row>
    <x:row r="124" spans="1:27" s="48" customFormat="1" ht="13.5">
      <x:c r="A124" s="76"/>
      <x:c r="B124" s="70"/>
      <x:c r="C124" s="1143" t="s">
        <x:v>332</x:v>
      </x:c>
      <x:c r="D124" s="1143"/>
      <x:c r="E124" s="1153"/>
      <x:c r="F124" s="1154" t="s">
        <x:v>372</x:v>
      </x:c>
      <x:c r="G124" s="1144" t="s">
        <x:v>373</x:v>
      </x:c>
      <x:c r="H124" s="1155">
        <x:v>1</x:v>
      </x:c>
      <x:c r="I124" s="1143" t="s">
        <x:v>1089</x:v>
      </x:c>
      <x:c r="J124" s="1159">
        <x:v>10.241</x:v>
      </x:c>
      <x:c r="K124" s="1160">
        <x:v>10.241</x:v>
      </x:c>
      <x:c r="L124" s="102">
        <x:v>10.241</x:v>
      </x:c>
      <x:c r="M124" s="102">
        <x:v>10.241</x:v>
      </x:c>
      <x:c r="N124" s="102">
        <x:v>10.241</x:v>
      </x:c>
      <x:c r="O124" s="102">
        <x:v>10.241</x:v>
      </x:c>
      <x:c r="P124" s="102">
        <x:v>10.241</x:v>
      </x:c>
      <x:c r="Q124" s="102">
        <x:v>10.241</x:v>
      </x:c>
      <x:c r="R124" s="102">
        <x:v>10.241</x:v>
      </x:c>
      <x:c r="S124" s="102">
        <x:v>10.241</x:v>
      </x:c>
      <x:c r="T124" s="102">
        <x:v>10.241</x:v>
      </x:c>
      <x:c r="U124" s="102">
        <x:v>10.241</x:v>
      </x:c>
      <x:c r="V124" s="1158"/>
      <x:c r="W124" s="1046"/>
      <x:c r="X124" s="842"/>
      <x:c r="Y124" s="842"/>
      <x:c r="Z124" s="1166">
        <x:v>10.241</x:v>
      </x:c>
      <x:c r="AA124" s="842">
        <x:f t="shared" si="8"/>
        <x:v>0</x:v>
      </x:c>
    </x:row>
    <x:row r="125" spans="1:27" s="48" customFormat="1" ht="13.5">
      <x:c r="A125" s="76"/>
      <x:c r="B125" s="70"/>
      <x:c r="C125" s="1165" t="s">
        <x:v>332</x:v>
      </x:c>
      <x:c r="D125" s="61"/>
      <x:c r="E125" s="71"/>
      <x:c r="F125" s="72" t="str">
        <x:f>+F124</x:f>
        <x:v>BUS BAR ASY – POS BEC TO ARRAY 6 POS </x:v>
      </x:c>
      <x:c r="G125" s="62" t="s">
        <x:v>1519</x:v>
      </x:c>
      <x:c r="H125" s="73">
        <x:v>1</x:v>
      </x:c>
      <x:c r="I125" s="61" t="str">
        <x:f>+I124</x:f>
        <x:v>터키 현지 외주</x:v>
      </x:c>
      <x:c r="J125" s="1157">
        <x:v>14.44</x:v>
      </x:c>
      <x:c r="K125" s="1157">
        <x:v>14.44</x:v>
      </x:c>
      <x:c r="L125" s="1157">
        <x:v>14.44</x:v>
      </x:c>
      <x:c r="M125" s="1157">
        <x:v>14.44</x:v>
      </x:c>
      <x:c r="N125" s="1157">
        <x:v>14.44</x:v>
      </x:c>
      <x:c r="O125" s="1157">
        <x:v>14.44</x:v>
      </x:c>
      <x:c r="P125" s="1157">
        <x:v>14.44</x:v>
      </x:c>
      <x:c r="Q125" s="1157">
        <x:v>14.44</x:v>
      </x:c>
      <x:c r="R125" s="1157">
        <x:v>14.44</x:v>
      </x:c>
      <x:c r="S125" s="1157">
        <x:v>14.44</x:v>
      </x:c>
      <x:c r="T125" s="1157">
        <x:v>14.44</x:v>
      </x:c>
      <x:c r="U125" s="1157">
        <x:v>14.44</x:v>
      </x:c>
      <x:c r="V125" s="104"/>
      <x:c r="W125" s="1176">
        <x:f>+U125/U124</x:f>
        <x:v>1.4100185528756957</x:v>
      </x:c>
      <x:c r="X125" s="842"/>
      <x:c r="Y125" s="842"/>
      <x:c r="Z125" s="1166">
        <x:v>14.44</x:v>
      </x:c>
      <x:c r="AA125" s="842">
        <x:f t="shared" si="8"/>
        <x:v>0</x:v>
      </x:c>
    </x:row>
    <x:row r="126" spans="1:27" s="48" customFormat="1" ht="13.5">
      <x:c r="A126" s="76"/>
      <x:c r="B126" s="70"/>
      <x:c r="C126" s="240" t="s">
        <x:v>332</x:v>
      </x:c>
      <x:c r="D126" s="240"/>
      <x:c r="E126" s="244"/>
      <x:c r="F126" s="245" t="s">
        <x:v>374</x:v>
      </x:c>
      <x:c r="G126" s="241" t="s">
        <x:v>375</x:v>
      </x:c>
      <x:c r="H126" s="246">
        <x:v>1</x:v>
      </x:c>
      <x:c r="I126" s="240" t="s">
        <x:v>1089</x:v>
      </x:c>
      <x:c r="J126" s="278">
        <x:v>6.6310000000000002</x:v>
      </x:c>
      <x:c r="K126" s="102">
        <x:v>6.6310000000000002</x:v>
      </x:c>
      <x:c r="L126" s="102">
        <x:v>6.6310000000000002</x:v>
      </x:c>
      <x:c r="M126" s="102">
        <x:v>6.6310000000000002</x:v>
      </x:c>
      <x:c r="N126" s="102">
        <x:v>6.6310000000000002</x:v>
      </x:c>
      <x:c r="O126" s="102">
        <x:v>6.6310000000000002</x:v>
      </x:c>
      <x:c r="P126" s="102">
        <x:v>6.6310000000000002</x:v>
      </x:c>
      <x:c r="Q126" s="102">
        <x:v>6.6310000000000002</x:v>
      </x:c>
      <x:c r="R126" s="102">
        <x:v>6.6310000000000002</x:v>
      </x:c>
      <x:c r="S126" s="102">
        <x:v>6.6310000000000002</x:v>
      </x:c>
      <x:c r="T126" s="102">
        <x:v>6.6310000000000002</x:v>
      </x:c>
      <x:c r="U126" s="102">
        <x:v>6.6310000000000002</x:v>
      </x:c>
      <x:c r="V126" s="103"/>
      <x:c r="W126" s="1053"/>
      <x:c r="X126" s="842"/>
      <x:c r="Y126" s="842"/>
      <x:c r="Z126" s="1166">
        <x:v>6.6310000000000002</x:v>
      </x:c>
      <x:c r="AA126" s="842">
        <x:f t="shared" si="8"/>
        <x:v>0</x:v>
      </x:c>
    </x:row>
    <x:row r="127" spans="1:27" s="48" customFormat="1" ht="13.5">
      <x:c r="A127" s="76"/>
      <x:c r="B127" s="70"/>
      <x:c r="C127" s="240" t="s">
        <x:v>332</x:v>
      </x:c>
      <x:c r="D127" s="235"/>
      <x:c r="E127" s="244"/>
      <x:c r="F127" s="245" t="s">
        <x:v>376</x:v>
      </x:c>
      <x:c r="G127" s="241" t="s">
        <x:v>377</x:v>
      </x:c>
      <x:c r="H127" s="246">
        <x:v>1</x:v>
      </x:c>
      <x:c r="I127" s="240" t="s">
        <x:v>1089</x:v>
      </x:c>
      <x:c r="J127" s="278">
        <x:v>11.703999999999999</x:v>
      </x:c>
      <x:c r="K127" s="102">
        <x:v>11.703999999999999</x:v>
      </x:c>
      <x:c r="L127" s="102">
        <x:v>11.703999999999999</x:v>
      </x:c>
      <x:c r="M127" s="102">
        <x:v>11.703999999999999</x:v>
      </x:c>
      <x:c r="N127" s="102">
        <x:v>11.703999999999999</x:v>
      </x:c>
      <x:c r="O127" s="102">
        <x:v>11.703999999999999</x:v>
      </x:c>
      <x:c r="P127" s="102">
        <x:v>11.703999999999999</x:v>
      </x:c>
      <x:c r="Q127" s="102">
        <x:v>11.703999999999999</x:v>
      </x:c>
      <x:c r="R127" s="102">
        <x:v>11.703999999999999</x:v>
      </x:c>
      <x:c r="S127" s="102">
        <x:v>11.703999999999999</x:v>
      </x:c>
      <x:c r="T127" s="102">
        <x:v>11.703999999999999</x:v>
      </x:c>
      <x:c r="U127" s="102">
        <x:v>11.703999999999999</x:v>
      </x:c>
      <x:c r="V127" s="103"/>
      <x:c r="W127" s="1053"/>
      <x:c r="X127" s="842"/>
      <x:c r="Y127" s="842"/>
      <x:c r="Z127" s="1166">
        <x:v>11.703999999999999</x:v>
      </x:c>
      <x:c r="AA127" s="842">
        <x:f t="shared" si="8"/>
        <x:v>0</x:v>
      </x:c>
    </x:row>
    <x:row r="128" spans="1:27" s="48" customFormat="1" ht="13.5">
      <x:c r="A128" s="76"/>
      <x:c r="B128" s="70"/>
      <x:c r="C128" s="240" t="s">
        <x:v>332</x:v>
      </x:c>
      <x:c r="D128" s="240"/>
      <x:c r="E128" s="240"/>
      <x:c r="F128" s="240" t="s">
        <x:v>378</x:v>
      </x:c>
      <x:c r="G128" s="241" t="s">
        <x:v>379</x:v>
      </x:c>
      <x:c r="H128" s="246">
        <x:v>1</x:v>
      </x:c>
      <x:c r="I128" s="1143" t="s">
        <x:v>1089</x:v>
      </x:c>
      <x:c r="J128" s="278">
        <x:v>6.5359999999999996</x:v>
      </x:c>
      <x:c r="K128" s="102">
        <x:v>6.5359999999999996</x:v>
      </x:c>
      <x:c r="L128" s="102">
        <x:v>6.5359999999999996</x:v>
      </x:c>
      <x:c r="M128" s="102">
        <x:v>6.5359999999999996</x:v>
      </x:c>
      <x:c r="N128" s="102">
        <x:v>6.5359999999999996</x:v>
      </x:c>
      <x:c r="O128" s="102">
        <x:v>6.5359999999999996</x:v>
      </x:c>
      <x:c r="P128" s="102">
        <x:v>6.5359999999999996</x:v>
      </x:c>
      <x:c r="Q128" s="102">
        <x:v>6.5359999999999996</x:v>
      </x:c>
      <x:c r="R128" s="102">
        <x:v>6.5359999999999996</x:v>
      </x:c>
      <x:c r="S128" s="102">
        <x:v>6.5359999999999996</x:v>
      </x:c>
      <x:c r="T128" s="102">
        <x:v>6.5359999999999996</x:v>
      </x:c>
      <x:c r="U128" s="102">
        <x:v>6.5359999999999996</x:v>
      </x:c>
      <x:c r="V128" s="99"/>
      <x:c r="W128" s="1054"/>
      <x:c r="X128" s="842"/>
      <x:c r="Y128" s="842"/>
      <x:c r="Z128" s="1166">
        <x:v>6.5359999999999996</x:v>
      </x:c>
      <x:c r="AA128" s="842">
        <x:f t="shared" si="8"/>
        <x:v>0</x:v>
      </x:c>
    </x:row>
    <x:row r="129" spans="1:27" s="48" customFormat="1" ht="13.5">
      <x:c r="A129" s="76"/>
      <x:c r="B129" s="70"/>
      <x:c r="C129" s="1165" t="s">
        <x:v>332</x:v>
      </x:c>
      <x:c r="D129" s="1142"/>
      <x:c r="E129" s="1142"/>
      <x:c r="F129" s="1142" t="str">
        <x:f>+F128</x:f>
        <x:v>BUS BAR ASY – ARRAY 1 NEG TO NEG BEC</x:v>
      </x:c>
      <x:c r="G129" s="1150" t="s">
        <x:v>1520</x:v>
      </x:c>
      <x:c r="H129" s="1151">
        <x:v>1</x:v>
      </x:c>
      <x:c r="I129" s="61" t="str">
        <x:f>+I128</x:f>
        <x:v>터키 현지 외주</x:v>
      </x:c>
      <x:c r="J129" s="1157">
        <x:v>9.8000000000000007</x:v>
      </x:c>
      <x:c r="K129" s="1157">
        <x:v>9.8000000000000007</x:v>
      </x:c>
      <x:c r="L129" s="1157">
        <x:v>9.8000000000000007</x:v>
      </x:c>
      <x:c r="M129" s="1157">
        <x:v>9.8000000000000007</x:v>
      </x:c>
      <x:c r="N129" s="1157">
        <x:v>9.8000000000000007</x:v>
      </x:c>
      <x:c r="O129" s="1157">
        <x:v>9.8000000000000007</x:v>
      </x:c>
      <x:c r="P129" s="1157">
        <x:v>9.8000000000000007</x:v>
      </x:c>
      <x:c r="Q129" s="1157">
        <x:v>9.8000000000000007</x:v>
      </x:c>
      <x:c r="R129" s="1157">
        <x:v>9.8000000000000007</x:v>
      </x:c>
      <x:c r="S129" s="1157">
        <x:v>9.8000000000000007</x:v>
      </x:c>
      <x:c r="T129" s="1157">
        <x:v>9.8000000000000007</x:v>
      </x:c>
      <x:c r="U129" s="1157">
        <x:v>9.8000000000000007</x:v>
      </x:c>
      <x:c r="V129" s="1158"/>
      <x:c r="W129" s="1176">
        <x:f>+U129/U128</x:f>
        <x:v>1.4993880048959611</x:v>
      </x:c>
      <x:c r="X129" s="842"/>
      <x:c r="Y129" s="842"/>
      <x:c r="Z129" s="1166">
        <x:v>9.8000000000000007</x:v>
      </x:c>
      <x:c r="AA129" s="842">
        <x:f t="shared" si="8"/>
        <x:v>0</x:v>
      </x:c>
    </x:row>
    <x:row r="130" spans="1:27" s="48" customFormat="1" ht="13.5">
      <x:c r="A130" s="76"/>
      <x:c r="B130" s="70"/>
      <x:c r="C130" s="240" t="s">
        <x:v>332</x:v>
      </x:c>
      <x:c r="D130" s="235"/>
      <x:c r="E130" s="235"/>
      <x:c r="F130" s="235" t="s">
        <x:v>380</x:v>
      </x:c>
      <x:c r="G130" s="236" t="s">
        <x:v>381</x:v>
      </x:c>
      <x:c r="H130" s="246">
        <x:v>1</x:v>
      </x:c>
      <x:c r="I130" s="235" t="s">
        <x:v>1089</x:v>
      </x:c>
      <x:c r="J130" s="278">
        <x:v>13.214499999999999</x:v>
      </x:c>
      <x:c r="K130" s="102">
        <x:v>13.214499999999999</x:v>
      </x:c>
      <x:c r="L130" s="102">
        <x:v>13.214499999999999</x:v>
      </x:c>
      <x:c r="M130" s="102">
        <x:v>13.214499999999999</x:v>
      </x:c>
      <x:c r="N130" s="102">
        <x:v>13.214499999999999</x:v>
      </x:c>
      <x:c r="O130" s="102">
        <x:v>13.214499999999999</x:v>
      </x:c>
      <x:c r="P130" s="102">
        <x:v>13.214499999999999</x:v>
      </x:c>
      <x:c r="Q130" s="102">
        <x:v>13.214499999999999</x:v>
      </x:c>
      <x:c r="R130" s="102">
        <x:v>13.214499999999999</x:v>
      </x:c>
      <x:c r="S130" s="102">
        <x:v>13.214499999999999</x:v>
      </x:c>
      <x:c r="T130" s="102">
        <x:v>13.214499999999999</x:v>
      </x:c>
      <x:c r="U130" s="102">
        <x:v>13.214499999999999</x:v>
      </x:c>
      <x:c r="V130" s="99"/>
      <x:c r="W130" s="1054"/>
      <x:c r="X130" s="842"/>
      <x:c r="Y130" s="842"/>
      <x:c r="Z130" s="1166">
        <x:v>13.214499999999999</x:v>
      </x:c>
      <x:c r="AA130" s="842">
        <x:f t="shared" si="8"/>
        <x:v>0</x:v>
      </x:c>
    </x:row>
    <x:row r="131" spans="1:27" s="48" customFormat="1" ht="13.5">
      <x:c r="A131" s="76"/>
      <x:c r="B131" s="75"/>
      <x:c r="C131" s="235" t="s">
        <x:v>332</x:v>
      </x:c>
      <x:c r="D131" s="235"/>
      <x:c r="E131" s="247"/>
      <x:c r="F131" s="248" t="s">
        <x:v>382</x:v>
      </x:c>
      <x:c r="G131" s="236" t="s">
        <x:v>383</x:v>
      </x:c>
      <x:c r="H131" s="249">
        <x:v>1</x:v>
      </x:c>
      <x:c r="I131" s="235" t="s">
        <x:v>1089</x:v>
      </x:c>
      <x:c r="J131" s="278">
        <x:v>9.4524999999999988</x:v>
      </x:c>
      <x:c r="K131" s="102">
        <x:v>9.4524999999999988</x:v>
      </x:c>
      <x:c r="L131" s="102">
        <x:v>9.4524999999999988</x:v>
      </x:c>
      <x:c r="M131" s="102">
        <x:v>9.4524999999999988</x:v>
      </x:c>
      <x:c r="N131" s="102">
        <x:v>9.4524999999999988</x:v>
      </x:c>
      <x:c r="O131" s="102">
        <x:v>9.4524999999999988</x:v>
      </x:c>
      <x:c r="P131" s="102">
        <x:v>9.4524999999999988</x:v>
      </x:c>
      <x:c r="Q131" s="102">
        <x:v>9.4524999999999988</x:v>
      </x:c>
      <x:c r="R131" s="102">
        <x:v>9.4524999999999988</x:v>
      </x:c>
      <x:c r="S131" s="102">
        <x:v>9.4524999999999988</x:v>
      </x:c>
      <x:c r="T131" s="102">
        <x:v>9.4524999999999988</x:v>
      </x:c>
      <x:c r="U131" s="102">
        <x:v>9.4524999999999988</x:v>
      </x:c>
      <x:c r="V131" s="99"/>
      <x:c r="W131" s="1068"/>
      <x:c r="X131" s="842"/>
      <x:c r="Y131" s="842"/>
      <x:c r="Z131" s="1166">
        <x:v>9.4524999999999988</x:v>
      </x:c>
      <x:c r="AA131" s="842">
        <x:f t="shared" si="8"/>
        <x:v>0</x:v>
      </x:c>
    </x:row>
    <x:row r="132" spans="1:27" s="48" customFormat="1" ht="13.5">
      <x:c r="A132" s="76"/>
      <x:c r="B132" s="70" t="s">
        <x:v>384</x:v>
      </x:c>
      <x:c r="C132" s="240"/>
      <x:c r="D132" s="235" t="s">
        <x:v>332</x:v>
      </x:c>
      <x:c r="E132" s="247"/>
      <x:c r="F132" s="248" t="s">
        <x:v>385</x:v>
      </x:c>
      <x:c r="G132" s="236" t="s">
        <x:v>386</x:v>
      </x:c>
      <x:c r="H132" s="246">
        <x:v>1</x:v>
      </x:c>
      <x:c r="I132" s="235" t="s">
        <x:v>387</x:v>
      </x:c>
      <x:c r="J132" s="278">
        <x:v>1.25</x:v>
      </x:c>
      <x:c r="K132" s="278">
        <x:v>1.25</x:v>
      </x:c>
      <x:c r="L132" s="278">
        <x:v>1.25</x:v>
      </x:c>
      <x:c r="M132" s="278">
        <x:v>1.25</x:v>
      </x:c>
      <x:c r="N132" s="278">
        <x:v>1.25</x:v>
      </x:c>
      <x:c r="O132" s="278">
        <x:v>1.25</x:v>
      </x:c>
      <x:c r="P132" s="278">
        <x:v>1.25</x:v>
      </x:c>
      <x:c r="Q132" s="278">
        <x:v>1.25</x:v>
      </x:c>
      <x:c r="R132" s="278">
        <x:v>1.25</x:v>
      </x:c>
      <x:c r="S132" s="278">
        <x:v>1.25</x:v>
      </x:c>
      <x:c r="T132" s="278">
        <x:v>1.25</x:v>
      </x:c>
      <x:c r="U132" s="278">
        <x:v>1.25</x:v>
      </x:c>
      <x:c r="V132" s="99"/>
      <x:c r="W132" s="1056"/>
      <x:c r="X132" s="837"/>
      <x:c r="Z132" s="1166" t="e">
        <x:v>#N/A</x:v>
      </x:c>
      <x:c r="AA132" s="842" t="e">
        <x:f t="shared" si="8"/>
        <x:v>#N/A</x:v>
      </x:c>
    </x:row>
    <x:row r="133" spans="1:27" s="48" customFormat="1" ht="13.5">
      <x:c r="A133" s="76"/>
      <x:c r="B133" s="70" t="s">
        <x:v>388</x:v>
      </x:c>
      <x:c r="C133" s="240"/>
      <x:c r="D133" s="235" t="s">
        <x:v>332</x:v>
      </x:c>
      <x:c r="E133" s="247"/>
      <x:c r="F133" s="248" t="s">
        <x:v>389</x:v>
      </x:c>
      <x:c r="G133" s="236" t="s">
        <x:v>390</x:v>
      </x:c>
      <x:c r="H133" s="246">
        <x:v>1</x:v>
      </x:c>
      <x:c r="I133" s="235" t="s">
        <x:v>387</x:v>
      </x:c>
      <x:c r="J133" s="278">
        <x:v>1.47</x:v>
      </x:c>
      <x:c r="K133" s="278">
        <x:v>1.47</x:v>
      </x:c>
      <x:c r="L133" s="278">
        <x:v>1.47</x:v>
      </x:c>
      <x:c r="M133" s="278">
        <x:v>1.47</x:v>
      </x:c>
      <x:c r="N133" s="278">
        <x:v>1.47</x:v>
      </x:c>
      <x:c r="O133" s="278">
        <x:v>1.47</x:v>
      </x:c>
      <x:c r="P133" s="278">
        <x:v>1.47</x:v>
      </x:c>
      <x:c r="Q133" s="278">
        <x:v>1.47</x:v>
      </x:c>
      <x:c r="R133" s="278">
        <x:v>1.47</x:v>
      </x:c>
      <x:c r="S133" s="278">
        <x:v>1.47</x:v>
      </x:c>
      <x:c r="T133" s="278">
        <x:v>1.47</x:v>
      </x:c>
      <x:c r="U133" s="278">
        <x:v>1.47</x:v>
      </x:c>
      <x:c r="V133" s="99"/>
      <x:c r="W133" s="1056"/>
      <x:c r="X133" s="837"/>
      <x:c r="Z133" s="1166" t="e">
        <x:v>#N/A</x:v>
      </x:c>
      <x:c r="AA133" s="842" t="e">
        <x:f t="shared" si="8"/>
        <x:v>#N/A</x:v>
      </x:c>
    </x:row>
    <x:row r="134" spans="1:27" s="48" customFormat="1" ht="13.5">
      <x:c r="A134" s="76"/>
      <x:c r="B134" s="70"/>
      <x:c r="C134" s="240"/>
      <x:c r="D134" s="235" t="s">
        <x:v>332</x:v>
      </x:c>
      <x:c r="E134" s="247"/>
      <x:c r="F134" s="248" t="s">
        <x:v>391</x:v>
      </x:c>
      <x:c r="G134" s="236" t="s">
        <x:v>392</x:v>
      </x:c>
      <x:c r="H134" s="246">
        <x:v>2</x:v>
      </x:c>
      <x:c r="I134" s="235" t="s">
        <x:v>387</x:v>
      </x:c>
      <x:c r="J134" s="278">
        <x:v>1.1100000000000001</x:v>
      </x:c>
      <x:c r="K134" s="278">
        <x:v>1.1100000000000001</x:v>
      </x:c>
      <x:c r="L134" s="278">
        <x:v>1.1100000000000001</x:v>
      </x:c>
      <x:c r="M134" s="278">
        <x:v>1.1100000000000001</x:v>
      </x:c>
      <x:c r="N134" s="278">
        <x:v>1.1100000000000001</x:v>
      </x:c>
      <x:c r="O134" s="278">
        <x:v>1.1100000000000001</x:v>
      </x:c>
      <x:c r="P134" s="278">
        <x:v>1.1100000000000001</x:v>
      </x:c>
      <x:c r="Q134" s="278">
        <x:v>1.1100000000000001</x:v>
      </x:c>
      <x:c r="R134" s="278">
        <x:v>1.1100000000000001</x:v>
      </x:c>
      <x:c r="S134" s="278">
        <x:v>1.1100000000000001</x:v>
      </x:c>
      <x:c r="T134" s="278">
        <x:v>1.1100000000000001</x:v>
      </x:c>
      <x:c r="U134" s="278">
        <x:v>1.1100000000000001</x:v>
      </x:c>
      <x:c r="V134" s="99"/>
      <x:c r="W134" s="1056"/>
      <x:c r="X134" s="837"/>
      <x:c r="Z134" s="1166" t="e">
        <x:v>#N/A</x:v>
      </x:c>
      <x:c r="AA134" s="842" t="e">
        <x:f t="shared" si="8"/>
        <x:v>#N/A</x:v>
      </x:c>
    </x:row>
    <x:row r="135" spans="1:27" s="48" customFormat="1" ht="13.5">
      <x:c r="A135" s="851"/>
      <x:c r="B135" s="79" t="s">
        <x:v>393</x:v>
      </x:c>
      <x:c r="C135" s="240" t="s">
        <x:v>332</x:v>
      </x:c>
      <x:c r="D135" s="852"/>
      <x:c r="E135" s="852"/>
      <x:c r="F135" s="853" t="s">
        <x:v>394</x:v>
      </x:c>
      <x:c r="G135" s="854" t="s">
        <x:v>395</x:v>
      </x:c>
      <x:c r="H135" s="855">
        <x:v>1</x:v>
      </x:c>
      <x:c r="I135" s="235" t="s">
        <x:v>396</x:v>
      </x:c>
      <x:c r="J135" s="1182">
        <x:v>143.04702509984867</x:v>
      </x:c>
      <x:c r="K135" s="1182">
        <x:v>143.04702509984867</x:v>
      </x:c>
      <x:c r="L135" s="1182">
        <x:v>143.04702509984867</x:v>
      </x:c>
      <x:c r="M135" s="1182">
        <x:v>143.04702509984867</x:v>
      </x:c>
      <x:c r="N135" s="1182">
        <x:v>143.04702509984867</x:v>
      </x:c>
      <x:c r="O135" s="1182">
        <x:v>143.04702509984867</x:v>
      </x:c>
      <x:c r="P135" s="1182">
        <x:v>143.04702509984867</x:v>
      </x:c>
      <x:c r="Q135" s="1182">
        <x:v>143.04702509984867</x:v>
      </x:c>
      <x:c r="R135" s="1182">
        <x:v>143.04702509984867</x:v>
      </x:c>
      <x:c r="S135" s="1182">
        <x:v>143.04702509984867</x:v>
      </x:c>
      <x:c r="T135" s="1182">
        <x:v>143.04702509984867</x:v>
      </x:c>
      <x:c r="U135" s="1182">
        <x:v>143.04702509984867</x:v>
      </x:c>
      <x:c r="V135" s="99"/>
      <x:c r="W135" s="1183" t="s">
        <x:v>1535</x:v>
      </x:c>
      <x:c r="X135" s="848">
        <x:v>135.67005030847832</x:v>
      </x:c>
      <x:c r="Y135" s="263" t="s">
        <x:v>1275</x:v>
      </x:c>
      <x:c r="Z135" s="1166">
        <x:v>135.67005030847832</x:v>
      </x:c>
      <x:c r="AA135" s="842">
        <x:f t="shared" si="8"/>
        <x:v>-7.3769747913703441</x:v>
      </x:c>
    </x:row>
    <x:row r="136" spans="1:27" s="48" customFormat="1" ht="13.5">
      <x:c r="A136" s="851"/>
      <x:c r="B136" s="80"/>
      <x:c r="C136" s="235" t="s">
        <x:v>332</x:v>
      </x:c>
      <x:c r="D136" s="852"/>
      <x:c r="E136" s="852"/>
      <x:c r="F136" s="853" t="s">
        <x:v>397</x:v>
      </x:c>
      <x:c r="G136" s="854" t="s">
        <x:v>398</x:v>
      </x:c>
      <x:c r="H136" s="853">
        <x:v>1</x:v>
      </x:c>
      <x:c r="I136" s="235" t="s">
        <x:v>396</x:v>
      </x:c>
      <x:c r="J136" s="1182">
        <x:v>122.91213373721806</x:v>
      </x:c>
      <x:c r="K136" s="1182">
        <x:v>122.91213373721806</x:v>
      </x:c>
      <x:c r="L136" s="1182">
        <x:v>122.91213373721806</x:v>
      </x:c>
      <x:c r="M136" s="1182">
        <x:v>122.91213373721806</x:v>
      </x:c>
      <x:c r="N136" s="1182">
        <x:v>122.91213373721806</x:v>
      </x:c>
      <x:c r="O136" s="1182">
        <x:v>122.91213373721806</x:v>
      </x:c>
      <x:c r="P136" s="1182">
        <x:v>122.91213373721806</x:v>
      </x:c>
      <x:c r="Q136" s="1182">
        <x:v>122.91213373721806</x:v>
      </x:c>
      <x:c r="R136" s="1182">
        <x:v>122.91213373721806</x:v>
      </x:c>
      <x:c r="S136" s="1182">
        <x:v>122.91213373721806</x:v>
      </x:c>
      <x:c r="T136" s="1182">
        <x:v>122.91213373721806</x:v>
      </x:c>
      <x:c r="U136" s="1182">
        <x:v>122.91213373721806</x:v>
      </x:c>
      <x:c r="V136" s="99"/>
      <x:c r="W136" s="1183" t="s">
        <x:v>1536</x:v>
      </x:c>
      <x:c r="X136" s="848">
        <x:v>114.45603003044428</x:v>
      </x:c>
      <x:c r="Y136" s="263" t="s">
        <x:v>163</x:v>
      </x:c>
      <x:c r="Z136" s="1166">
        <x:v>114.45603003044428</x:v>
      </x:c>
      <x:c r="AA136" s="842">
        <x:f t="shared" si="8"/>
        <x:v>-8.4561037067737743</x:v>
      </x:c>
    </x:row>
    <x:row r="137" spans="1:27" s="48" customFormat="1" ht="13.5">
      <x:c r="A137" s="856"/>
      <x:c r="B137" s="81"/>
      <x:c r="C137" s="235" t="s">
        <x:v>332</x:v>
      </x:c>
      <x:c r="D137" s="235"/>
      <x:c r="E137" s="247"/>
      <x:c r="F137" s="248" t="s">
        <x:v>399</x:v>
      </x:c>
      <x:c r="G137" s="236" t="s">
        <x:v>400</x:v>
      </x:c>
      <x:c r="H137" s="249">
        <x:v>1</x:v>
      </x:c>
      <x:c r="I137" s="235" t="s">
        <x:v>396</x:v>
      </x:c>
      <x:c r="J137" s="1182">
        <x:v>17.16</x:v>
      </x:c>
      <x:c r="K137" s="1182">
        <x:v>17.16</x:v>
      </x:c>
      <x:c r="L137" s="1182">
        <x:v>17.16</x:v>
      </x:c>
      <x:c r="M137" s="1182">
        <x:v>17.16</x:v>
      </x:c>
      <x:c r="N137" s="1182">
        <x:v>17.16</x:v>
      </x:c>
      <x:c r="O137" s="1182">
        <x:v>17.16</x:v>
      </x:c>
      <x:c r="P137" s="1182">
        <x:v>17.16</x:v>
      </x:c>
      <x:c r="Q137" s="1182">
        <x:v>17.16</x:v>
      </x:c>
      <x:c r="R137" s="1182">
        <x:v>17.16</x:v>
      </x:c>
      <x:c r="S137" s="1182">
        <x:v>17.16</x:v>
      </x:c>
      <x:c r="T137" s="1182">
        <x:v>17.16</x:v>
      </x:c>
      <x:c r="U137" s="1182">
        <x:v>17.16</x:v>
      </x:c>
      <x:c r="V137" s="99"/>
      <x:c r="W137" s="1184" t="s">
        <x:v>1524</x:v>
      </x:c>
      <x:c r="X137" s="848">
        <x:v>17.320898275083778</x:v>
      </x:c>
      <x:c r="Y137" s="263" t="s">
        <x:v>163</x:v>
      </x:c>
      <x:c r="Z137" s="1166">
        <x:v>17.320898275083778</x:v>
      </x:c>
      <x:c r="AA137" s="842">
        <x:f t="shared" si="8"/>
        <x:v>0.16089827508377752</x:v>
      </x:c>
    </x:row>
    <x:row r="138" spans="1:27" s="48" customFormat="1" ht="13.5">
      <x:c r="A138" s="856"/>
      <x:c r="B138" s="80"/>
      <x:c r="C138" s="235" t="s">
        <x:v>332</x:v>
      </x:c>
      <x:c r="D138" s="235"/>
      <x:c r="E138" s="247"/>
      <x:c r="F138" s="248" t="s">
        <x:v>401</x:v>
      </x:c>
      <x:c r="G138" s="236" t="s">
        <x:v>402</x:v>
      </x:c>
      <x:c r="H138" s="249">
        <x:v>2</x:v>
      </x:c>
      <x:c r="I138" s="235" t="s">
        <x:v>396</x:v>
      </x:c>
      <x:c r="J138" s="1182">
        <x:v>10.25</x:v>
      </x:c>
      <x:c r="K138" s="1182">
        <x:v>10.25</x:v>
      </x:c>
      <x:c r="L138" s="1182">
        <x:v>10.25</x:v>
      </x:c>
      <x:c r="M138" s="1182">
        <x:v>10.25</x:v>
      </x:c>
      <x:c r="N138" s="1182">
        <x:v>10.25</x:v>
      </x:c>
      <x:c r="O138" s="1182">
        <x:v>10.25</x:v>
      </x:c>
      <x:c r="P138" s="1182">
        <x:v>10.25</x:v>
      </x:c>
      <x:c r="Q138" s="1182">
        <x:v>10.25</x:v>
      </x:c>
      <x:c r="R138" s="1182">
        <x:v>10.25</x:v>
      </x:c>
      <x:c r="S138" s="1182">
        <x:v>10.25</x:v>
      </x:c>
      <x:c r="T138" s="1182">
        <x:v>10.25</x:v>
      </x:c>
      <x:c r="U138" s="1182">
        <x:v>10.25</x:v>
      </x:c>
      <x:c r="V138" s="99"/>
      <x:c r="W138" s="1184" t="s">
        <x:v>1525</x:v>
      </x:c>
      <x:c r="X138" s="848">
        <x:v>10.181724390893994</x:v>
      </x:c>
      <x:c r="Y138" s="263" t="s">
        <x:v>163</x:v>
      </x:c>
      <x:c r="Z138" s="1166">
        <x:v>10.181724390893994</x:v>
      </x:c>
      <x:c r="AA138" s="842">
        <x:f t="shared" si="8"/>
        <x:v>-6.8275609106006385E-2</x:v>
      </x:c>
    </x:row>
    <x:row r="139" spans="1:27" s="48" customFormat="1" ht="13.5">
      <x:c r="A139" s="856"/>
      <x:c r="B139" s="80"/>
      <x:c r="C139" s="235" t="s">
        <x:v>332</x:v>
      </x:c>
      <x:c r="D139" s="857"/>
      <x:c r="E139" s="857"/>
      <x:c r="F139" s="857" t="s">
        <x:v>403</x:v>
      </x:c>
      <x:c r="G139" s="858" t="s">
        <x:v>404</x:v>
      </x:c>
      <x:c r="H139" s="857">
        <x:v>1</x:v>
      </x:c>
      <x:c r="I139" s="235" t="s">
        <x:v>396</x:v>
      </x:c>
      <x:c r="J139" s="1182">
        <x:v>31.62</x:v>
      </x:c>
      <x:c r="K139" s="1182">
        <x:v>31.62</x:v>
      </x:c>
      <x:c r="L139" s="1182">
        <x:v>31.62</x:v>
      </x:c>
      <x:c r="M139" s="1182">
        <x:v>31.62</x:v>
      </x:c>
      <x:c r="N139" s="1182">
        <x:v>31.62</x:v>
      </x:c>
      <x:c r="O139" s="1182">
        <x:v>31.62</x:v>
      </x:c>
      <x:c r="P139" s="1182">
        <x:v>31.62</x:v>
      </x:c>
      <x:c r="Q139" s="1182">
        <x:v>31.62</x:v>
      </x:c>
      <x:c r="R139" s="1182">
        <x:v>31.62</x:v>
      </x:c>
      <x:c r="S139" s="1182">
        <x:v>31.62</x:v>
      </x:c>
      <x:c r="T139" s="1182">
        <x:v>31.62</x:v>
      </x:c>
      <x:c r="U139" s="1182">
        <x:v>31.62</x:v>
      </x:c>
      <x:c r="V139" s="99"/>
      <x:c r="W139" s="1184" t="s">
        <x:v>1526</x:v>
      </x:c>
      <x:c r="X139" s="848">
        <x:v>32.427704669591577</x:v>
      </x:c>
      <x:c r="Y139" s="263" t="s">
        <x:v>163</x:v>
      </x:c>
      <x:c r="Z139" s="1166">
        <x:v>32.427704669591577</x:v>
      </x:c>
      <x:c r="AA139" s="842">
        <x:f t="shared" si="8"/>
        <x:v>0.80770466959157616</x:v>
      </x:c>
    </x:row>
    <x:row r="140" spans="1:27" s="48" customFormat="1" ht="13.5">
      <x:c r="A140" s="851"/>
      <x:c r="B140" s="80"/>
      <x:c r="C140" s="240" t="s">
        <x:v>332</x:v>
      </x:c>
      <x:c r="D140" s="852"/>
      <x:c r="E140" s="852"/>
      <x:c r="F140" s="853" t="s">
        <x:v>405</x:v>
      </x:c>
      <x:c r="G140" s="854" t="s">
        <x:v>406</x:v>
      </x:c>
      <x:c r="H140" s="853">
        <x:v>1</x:v>
      </x:c>
      <x:c r="I140" s="235" t="s">
        <x:v>396</x:v>
      </x:c>
      <x:c r="J140" s="1182">
        <x:v>12.88</x:v>
      </x:c>
      <x:c r="K140" s="1182">
        <x:v>12.88</x:v>
      </x:c>
      <x:c r="L140" s="1182">
        <x:v>12.88</x:v>
      </x:c>
      <x:c r="M140" s="1182">
        <x:v>12.88</x:v>
      </x:c>
      <x:c r="N140" s="1182">
        <x:v>12.88</x:v>
      </x:c>
      <x:c r="O140" s="1182">
        <x:v>12.88</x:v>
      </x:c>
      <x:c r="P140" s="1182">
        <x:v>12.88</x:v>
      </x:c>
      <x:c r="Q140" s="1182">
        <x:v>12.88</x:v>
      </x:c>
      <x:c r="R140" s="1182">
        <x:v>12.88</x:v>
      </x:c>
      <x:c r="S140" s="1182">
        <x:v>12.88</x:v>
      </x:c>
      <x:c r="T140" s="1182">
        <x:v>12.88</x:v>
      </x:c>
      <x:c r="U140" s="1182">
        <x:v>12.88</x:v>
      </x:c>
      <x:c r="V140" s="99"/>
      <x:c r="W140" s="1185" t="s">
        <x:v>1527</x:v>
      </x:c>
      <x:c r="X140" s="848">
        <x:v>12.854669776451049</x:v>
      </x:c>
      <x:c r="Y140" s="263" t="s">
        <x:v>163</x:v>
      </x:c>
      <x:c r="Z140" s="1166">
        <x:v>12.854669776451049</x:v>
      </x:c>
      <x:c r="AA140" s="842">
        <x:f t="shared" si="8"/>
        <x:v>-2.5330223548952091E-2</x:v>
      </x:c>
    </x:row>
    <x:row r="141" spans="1:27" s="48" customFormat="1" ht="13.5">
      <x:c r="A141" s="851"/>
      <x:c r="B141" s="80"/>
      <x:c r="C141" s="235" t="s">
        <x:v>332</x:v>
      </x:c>
      <x:c r="D141" s="852"/>
      <x:c r="E141" s="852"/>
      <x:c r="F141" s="853" t="s">
        <x:v>407</x:v>
      </x:c>
      <x:c r="G141" s="854" t="s">
        <x:v>408</x:v>
      </x:c>
      <x:c r="H141" s="853">
        <x:v>1</x:v>
      </x:c>
      <x:c r="I141" s="235" t="s">
        <x:v>396</x:v>
      </x:c>
      <x:c r="J141" s="1182">
        <x:v>26.3</x:v>
      </x:c>
      <x:c r="K141" s="1182">
        <x:v>26.3</x:v>
      </x:c>
      <x:c r="L141" s="1182">
        <x:v>26.3</x:v>
      </x:c>
      <x:c r="M141" s="1182">
        <x:v>26.3</x:v>
      </x:c>
      <x:c r="N141" s="1182">
        <x:v>26.3</x:v>
      </x:c>
      <x:c r="O141" s="1182">
        <x:v>26.3</x:v>
      </x:c>
      <x:c r="P141" s="1182">
        <x:v>26.3</x:v>
      </x:c>
      <x:c r="Q141" s="1182">
        <x:v>26.3</x:v>
      </x:c>
      <x:c r="R141" s="1182">
        <x:v>26.3</x:v>
      </x:c>
      <x:c r="S141" s="1182">
        <x:v>26.3</x:v>
      </x:c>
      <x:c r="T141" s="1182">
        <x:v>26.3</x:v>
      </x:c>
      <x:c r="U141" s="1182">
        <x:v>26.3</x:v>
      </x:c>
      <x:c r="V141" s="99"/>
      <x:c r="W141" s="1185" t="s">
        <x:v>1528</x:v>
      </x:c>
      <x:c r="X141" s="848">
        <x:v>26.908419404707452</x:v>
      </x:c>
      <x:c r="Y141" s="263" t="s">
        <x:v>163</x:v>
      </x:c>
      <x:c r="Z141" s="1166">
        <x:v>26.908419404707452</x:v>
      </x:c>
      <x:c r="AA141" s="842">
        <x:f t="shared" si="8"/>
        <x:v>0.60841940470745115</x:v>
      </x:c>
    </x:row>
    <x:row r="142" spans="1:27" s="48" customFormat="1" ht="13.5">
      <x:c r="A142" s="851"/>
      <x:c r="B142" s="80"/>
      <x:c r="C142" s="240" t="s">
        <x:v>332</x:v>
      </x:c>
      <x:c r="D142" s="859"/>
      <x:c r="E142" s="859"/>
      <x:c r="F142" s="855" t="s">
        <x:v>409</x:v>
      </x:c>
      <x:c r="G142" s="860" t="s">
        <x:v>410</x:v>
      </x:c>
      <x:c r="H142" s="855">
        <x:v>1</x:v>
      </x:c>
      <x:c r="I142" s="240" t="s">
        <x:v>396</x:v>
      </x:c>
      <x:c r="J142" s="1182">
        <x:v>19.86</x:v>
      </x:c>
      <x:c r="K142" s="1182">
        <x:v>19.86</x:v>
      </x:c>
      <x:c r="L142" s="1182">
        <x:v>19.86</x:v>
      </x:c>
      <x:c r="M142" s="1182">
        <x:v>19.86</x:v>
      </x:c>
      <x:c r="N142" s="1182">
        <x:v>19.86</x:v>
      </x:c>
      <x:c r="O142" s="1182">
        <x:v>19.86</x:v>
      </x:c>
      <x:c r="P142" s="1182">
        <x:v>19.86</x:v>
      </x:c>
      <x:c r="Q142" s="1182">
        <x:v>19.86</x:v>
      </x:c>
      <x:c r="R142" s="1182">
        <x:v>19.86</x:v>
      </x:c>
      <x:c r="S142" s="1182">
        <x:v>19.86</x:v>
      </x:c>
      <x:c r="T142" s="1182">
        <x:v>19.86</x:v>
      </x:c>
      <x:c r="U142" s="1182">
        <x:v>19.86</x:v>
      </x:c>
      <x:c r="V142" s="99"/>
      <x:c r="W142" s="1183" t="s">
        <x:v>1529</x:v>
      </x:c>
      <x:c r="X142" s="848">
        <x:v>15.103366931666681</x:v>
      </x:c>
      <x:c r="Y142" s="263" t="s">
        <x:v>163</x:v>
      </x:c>
      <x:c r="Z142" s="1166">
        <x:v>15.103366931666681</x:v>
      </x:c>
      <x:c r="AA142" s="842">
        <x:f t="shared" si="8"/>
        <x:v>-4.7566330683333184</x:v>
      </x:c>
    </x:row>
    <x:row r="143" spans="1:27" s="48" customFormat="1" ht="13.5">
      <x:c r="A143" s="851"/>
      <x:c r="B143" s="80"/>
      <x:c r="C143" s="235" t="s">
        <x:v>332</x:v>
      </x:c>
      <x:c r="D143" s="852"/>
      <x:c r="E143" s="852"/>
      <x:c r="F143" s="853" t="s">
        <x:v>353</x:v>
      </x:c>
      <x:c r="G143" s="854" t="s">
        <x:v>411</x:v>
      </x:c>
      <x:c r="H143" s="853">
        <x:v>3</x:v>
      </x:c>
      <x:c r="I143" s="853" t="s">
        <x:v>1089</x:v>
      </x:c>
      <x:c r="J143" s="1182">
        <x:v>15.646455775693564</x:v>
      </x:c>
      <x:c r="K143" s="1182">
        <x:v>15.646455775693564</x:v>
      </x:c>
      <x:c r="L143" s="1182">
        <x:v>15.646455775693564</x:v>
      </x:c>
      <x:c r="M143" s="1182">
        <x:v>15.646455775693564</x:v>
      </x:c>
      <x:c r="N143" s="1182">
        <x:v>15.646455775693564</x:v>
      </x:c>
      <x:c r="O143" s="1182">
        <x:v>15.646455775693564</x:v>
      </x:c>
      <x:c r="P143" s="1182">
        <x:v>15.646455775693564</x:v>
      </x:c>
      <x:c r="Q143" s="1182">
        <x:v>15.646455775693564</x:v>
      </x:c>
      <x:c r="R143" s="1182">
        <x:v>15.646455775693564</x:v>
      </x:c>
      <x:c r="S143" s="1182">
        <x:v>15.646455775693564</x:v>
      </x:c>
      <x:c r="T143" s="1182">
        <x:v>15.646455775693564</x:v>
      </x:c>
      <x:c r="U143" s="1182">
        <x:v>15.646455775693564</x:v>
      </x:c>
      <x:c r="V143" s="99"/>
      <x:c r="W143" s="1183" t="s">
        <x:v>1530</x:v>
      </x:c>
      <x:c r="X143" s="848">
        <x:v>16.307770734891431</x:v>
      </x:c>
      <x:c r="Y143" s="263" t="s">
        <x:v>163</x:v>
      </x:c>
      <x:c r="Z143" s="1166">
        <x:v>16.307770734891431</x:v>
      </x:c>
      <x:c r="AA143" s="842">
        <x:f t="shared" si="8"/>
        <x:v>0.66131495919786687</x:v>
      </x:c>
    </x:row>
    <x:row r="144" spans="1:27" s="48" customFormat="1" ht="13.5">
      <x:c r="A144" s="851"/>
      <x:c r="B144" s="80"/>
      <x:c r="C144" s="240" t="s">
        <x:v>332</x:v>
      </x:c>
      <x:c r="D144" s="852"/>
      <x:c r="E144" s="852"/>
      <x:c r="F144" s="853" t="s">
        <x:v>412</x:v>
      </x:c>
      <x:c r="G144" s="854" t="s">
        <x:v>413</x:v>
      </x:c>
      <x:c r="H144" s="853">
        <x:v>1</x:v>
      </x:c>
      <x:c r="I144" s="853" t="s">
        <x:v>1089</x:v>
      </x:c>
      <x:c r="J144" s="1182">
        <x:v>21.287796009865371</x:v>
      </x:c>
      <x:c r="K144" s="1182">
        <x:v>21.287796009865371</x:v>
      </x:c>
      <x:c r="L144" s="1182">
        <x:v>21.287796009865371</x:v>
      </x:c>
      <x:c r="M144" s="1182">
        <x:v>21.287796009865371</x:v>
      </x:c>
      <x:c r="N144" s="1182">
        <x:v>21.287796009865371</x:v>
      </x:c>
      <x:c r="O144" s="1182">
        <x:v>21.287796009865371</x:v>
      </x:c>
      <x:c r="P144" s="1182">
        <x:v>21.287796009865371</x:v>
      </x:c>
      <x:c r="Q144" s="1182">
        <x:v>21.287796009865371</x:v>
      </x:c>
      <x:c r="R144" s="1182">
        <x:v>21.287796009865371</x:v>
      </x:c>
      <x:c r="S144" s="1182">
        <x:v>21.287796009865371</x:v>
      </x:c>
      <x:c r="T144" s="1182">
        <x:v>21.287796009865371</x:v>
      </x:c>
      <x:c r="U144" s="1182">
        <x:v>21.287796009865371</x:v>
      </x:c>
      <x:c r="V144" s="99"/>
      <x:c r="W144" s="1183" t="s">
        <x:v>1531</x:v>
      </x:c>
      <x:c r="X144" s="848">
        <x:v>22.165378344600253</x:v>
      </x:c>
      <x:c r="Y144" s="263" t="s">
        <x:v>163</x:v>
      </x:c>
      <x:c r="Z144" s="1166">
        <x:v>22.165378344600253</x:v>
      </x:c>
      <x:c r="AA144" s="842">
        <x:f t="shared" si="8"/>
        <x:v>0.8775823347348819</x:v>
      </x:c>
    </x:row>
    <x:row r="145" spans="1:27" s="48" customFormat="1" ht="13.5">
      <x:c r="A145" s="851"/>
      <x:c r="B145" s="80"/>
      <x:c r="C145" s="235" t="s">
        <x:v>332</x:v>
      </x:c>
      <x:c r="D145" s="852"/>
      <x:c r="E145" s="852"/>
      <x:c r="F145" s="853" t="s">
        <x:v>358</x:v>
      </x:c>
      <x:c r="G145" s="854" t="s">
        <x:v>414</x:v>
      </x:c>
      <x:c r="H145" s="855">
        <x:v>1</x:v>
      </x:c>
      <x:c r="I145" s="853" t="s">
        <x:v>1089</x:v>
      </x:c>
      <x:c r="J145" s="1182">
        <x:v>19.736067029339658</x:v>
      </x:c>
      <x:c r="K145" s="1182">
        <x:v>19.736067029339658</x:v>
      </x:c>
      <x:c r="L145" s="1182">
        <x:v>19.736067029339658</x:v>
      </x:c>
      <x:c r="M145" s="1182">
        <x:v>19.736067029339658</x:v>
      </x:c>
      <x:c r="N145" s="1182">
        <x:v>19.736067029339658</x:v>
      </x:c>
      <x:c r="O145" s="1182">
        <x:v>19.736067029339658</x:v>
      </x:c>
      <x:c r="P145" s="1182">
        <x:v>19.736067029339658</x:v>
      </x:c>
      <x:c r="Q145" s="1182">
        <x:v>19.736067029339658</x:v>
      </x:c>
      <x:c r="R145" s="1182">
        <x:v>19.736067029339658</x:v>
      </x:c>
      <x:c r="S145" s="1182">
        <x:v>19.736067029339658</x:v>
      </x:c>
      <x:c r="T145" s="1182">
        <x:v>19.736067029339658</x:v>
      </x:c>
      <x:c r="U145" s="1182">
        <x:v>19.736067029339658</x:v>
      </x:c>
      <x:c r="V145" s="99"/>
      <x:c r="W145" s="1183" t="s">
        <x:v>1532</x:v>
      </x:c>
      <x:c r="X145" s="848">
        <x:v>19.512734357384144</x:v>
      </x:c>
      <x:c r="Y145" s="263" t="s">
        <x:v>163</x:v>
      </x:c>
      <x:c r="Z145" s="1166">
        <x:v>19.512734357384144</x:v>
      </x:c>
      <x:c r="AA145" s="842">
        <x:f t="shared" si="8"/>
        <x:v>-0.22333267195551443</x:v>
      </x:c>
    </x:row>
    <x:row r="146" spans="1:27" s="48" customFormat="1" ht="13.5">
      <x:c r="A146" s="851"/>
      <x:c r="B146" s="80"/>
      <x:c r="C146" s="240" t="s">
        <x:v>332</x:v>
      </x:c>
      <x:c r="D146" s="852"/>
      <x:c r="E146" s="852"/>
      <x:c r="F146" s="853" t="s">
        <x:v>415</x:v>
      </x:c>
      <x:c r="G146" s="854" t="s">
        <x:v>416</x:v>
      </x:c>
      <x:c r="H146" s="853">
        <x:v>1</x:v>
      </x:c>
      <x:c r="I146" s="853" t="s">
        <x:v>1089</x:v>
      </x:c>
      <x:c r="J146" s="1182">
        <x:v>20.998038179103997</x:v>
      </x:c>
      <x:c r="K146" s="1182">
        <x:v>20.998038179103997</x:v>
      </x:c>
      <x:c r="L146" s="1182">
        <x:v>20.998038179103997</x:v>
      </x:c>
      <x:c r="M146" s="1182">
        <x:v>20.998038179103997</x:v>
      </x:c>
      <x:c r="N146" s="1182">
        <x:v>20.998038179103997</x:v>
      </x:c>
      <x:c r="O146" s="1182">
        <x:v>20.998038179103997</x:v>
      </x:c>
      <x:c r="P146" s="1182">
        <x:v>20.998038179103997</x:v>
      </x:c>
      <x:c r="Q146" s="1182">
        <x:v>20.998038179103997</x:v>
      </x:c>
      <x:c r="R146" s="1182">
        <x:v>20.998038179103997</x:v>
      </x:c>
      <x:c r="S146" s="1182">
        <x:v>20.998038179103997</x:v>
      </x:c>
      <x:c r="T146" s="1182">
        <x:v>20.998038179103997</x:v>
      </x:c>
      <x:c r="U146" s="1182">
        <x:v>20.998038179103997</x:v>
      </x:c>
      <x:c r="V146" s="99"/>
      <x:c r="W146" s="1183" t="s">
        <x:v>1533</x:v>
      </x:c>
      <x:c r="X146" s="848">
        <x:v>21.6781713705704</x:v>
      </x:c>
      <x:c r="Y146" s="263" t="s">
        <x:v>163</x:v>
      </x:c>
      <x:c r="Z146" s="1166">
        <x:v>21.6781713705704</x:v>
      </x:c>
      <x:c r="AA146" s="842">
        <x:f t="shared" si="8"/>
        <x:v>0.68013319146640328</x:v>
      </x:c>
    </x:row>
    <x:row r="147" spans="1:27" s="48" customFormat="1" ht="13.5">
      <x:c r="A147" s="851"/>
      <x:c r="B147" s="80"/>
      <x:c r="C147" s="240" t="s">
        <x:v>332</x:v>
      </x:c>
      <x:c r="D147" s="859"/>
      <x:c r="E147" s="859"/>
      <x:c r="F147" s="855" t="s">
        <x:v>417</x:v>
      </x:c>
      <x:c r="G147" s="860" t="s">
        <x:v>418</x:v>
      </x:c>
      <x:c r="H147" s="855">
        <x:v>1</x:v>
      </x:c>
      <x:c r="I147" s="240" t="s">
        <x:v>396</x:v>
      </x:c>
      <x:c r="J147" s="1182">
        <x:v>26.429813093126487</x:v>
      </x:c>
      <x:c r="K147" s="1182">
        <x:v>26.429813093126487</x:v>
      </x:c>
      <x:c r="L147" s="1182">
        <x:v>26.429813093126487</x:v>
      </x:c>
      <x:c r="M147" s="1182">
        <x:v>26.429813093126487</x:v>
      </x:c>
      <x:c r="N147" s="1182">
        <x:v>26.429813093126487</x:v>
      </x:c>
      <x:c r="O147" s="1182">
        <x:v>26.429813093126487</x:v>
      </x:c>
      <x:c r="P147" s="1182">
        <x:v>26.429813093126487</x:v>
      </x:c>
      <x:c r="Q147" s="1182">
        <x:v>26.429813093126487</x:v>
      </x:c>
      <x:c r="R147" s="1182">
        <x:v>26.429813093126487</x:v>
      </x:c>
      <x:c r="S147" s="1182">
        <x:v>26.429813093126487</x:v>
      </x:c>
      <x:c r="T147" s="1182">
        <x:v>26.429813093126487</x:v>
      </x:c>
      <x:c r="U147" s="1182">
        <x:v>26.429813093126487</x:v>
      </x:c>
      <x:c r="V147" s="103"/>
      <x:c r="W147" s="1183" t="s">
        <x:v>1537</x:v>
      </x:c>
      <x:c r="X147" s="848">
        <x:v>27.364059551295572</x:v>
      </x:c>
      <x:c r="Y147" s="263" t="s">
        <x:v>163</x:v>
      </x:c>
      <x:c r="Z147" s="1166">
        <x:v>27.364059551295572</x:v>
      </x:c>
      <x:c r="AA147" s="842">
        <x:f t="shared" si="8"/>
        <x:v>0.9342464581690848</x:v>
      </x:c>
    </x:row>
    <x:row r="148" spans="1:27">
      <x:c r="A148" s="258"/>
      <x:c r="B148" s="1218" t="s">
        <x:v>1046</x:v>
      </x:c>
      <x:c r="C148" s="235"/>
      <x:c r="D148" s="235" t="s">
        <x:v>332</x:v>
      </x:c>
      <x:c r="E148" s="250"/>
      <x:c r="F148" s="251" t="s">
        <x:v>1047</x:v>
      </x:c>
      <x:c r="G148" s="252" t="s">
        <x:v>386</x:v>
      </x:c>
      <x:c r="H148" s="251">
        <x:v>1</x:v>
      </x:c>
      <x:c r="I148" s="251" t="s">
        <x:v>1089</x:v>
      </x:c>
      <x:c r="J148" s="279">
        <x:v>1.0148270000000001</x:v>
      </x:c>
      <x:c r="K148" s="279">
        <x:v>1.0148270000000001</x:v>
      </x:c>
      <x:c r="L148" s="279">
        <x:v>1.0148270000000001</x:v>
      </x:c>
      <x:c r="M148" s="279">
        <x:v>1.0148270000000001</x:v>
      </x:c>
      <x:c r="N148" s="279">
        <x:v>1.0148270000000001</x:v>
      </x:c>
      <x:c r="O148" s="279">
        <x:v>1.0148270000000001</x:v>
      </x:c>
      <x:c r="P148" s="279">
        <x:v>1.0148270000000001</x:v>
      </x:c>
      <x:c r="Q148" s="279">
        <x:v>1.0148270000000001</x:v>
      </x:c>
      <x:c r="R148" s="279">
        <x:v>1.0148270000000001</x:v>
      </x:c>
      <x:c r="S148" s="279">
        <x:v>1.0148270000000001</x:v>
      </x:c>
      <x:c r="T148" s="279">
        <x:v>1.0148270000000001</x:v>
      </x:c>
      <x:c r="U148" s="279">
        <x:v>1.0148270000000001</x:v>
      </x:c>
      <x:c r="V148" s="65"/>
      <x:c r="W148" s="1063"/>
      <x:c r="X148" s="837">
        <x:v>0</x:v>
      </x:c>
    </x:row>
    <x:row r="149" spans="1:27">
      <x:c r="A149" s="258"/>
      <x:c r="B149" s="1219"/>
      <x:c r="C149" s="235"/>
      <x:c r="D149" s="235" t="s">
        <x:v>332</x:v>
      </x:c>
      <x:c r="E149" s="250"/>
      <x:c r="F149" s="263" t="s">
        <x:v>1048</x:v>
      </x:c>
      <x:c r="G149" s="252" t="s">
        <x:v>390</x:v>
      </x:c>
      <x:c r="H149" s="251">
        <x:v>1</x:v>
      </x:c>
      <x:c r="I149" s="251" t="s">
        <x:v>1089</x:v>
      </x:c>
      <x:c r="J149" s="279">
        <x:v>1.1790790000000002</x:v>
      </x:c>
      <x:c r="K149" s="279">
        <x:v>1.1790790000000002</x:v>
      </x:c>
      <x:c r="L149" s="279">
        <x:v>1.1790790000000002</x:v>
      </x:c>
      <x:c r="M149" s="279">
        <x:v>1.1790790000000002</x:v>
      </x:c>
      <x:c r="N149" s="279">
        <x:v>1.1790790000000002</x:v>
      </x:c>
      <x:c r="O149" s="279">
        <x:v>1.1790790000000002</x:v>
      </x:c>
      <x:c r="P149" s="279">
        <x:v>1.1790790000000002</x:v>
      </x:c>
      <x:c r="Q149" s="279">
        <x:v>1.1790790000000002</x:v>
      </x:c>
      <x:c r="R149" s="279">
        <x:v>1.1790790000000002</x:v>
      </x:c>
      <x:c r="S149" s="279">
        <x:v>1.1790790000000002</x:v>
      </x:c>
      <x:c r="T149" s="279">
        <x:v>1.1790790000000002</x:v>
      </x:c>
      <x:c r="U149" s="279">
        <x:v>1.1790790000000002</x:v>
      </x:c>
      <x:c r="V149" s="65"/>
      <x:c r="W149" s="1063"/>
      <x:c r="X149" s="837">
        <x:v>0</x:v>
      </x:c>
    </x:row>
    <x:row r="150" spans="1:27">
      <x:c r="A150" s="258"/>
      <x:c r="B150" s="1219"/>
      <x:c r="C150" s="235"/>
      <x:c r="D150" s="235" t="s">
        <x:v>332</x:v>
      </x:c>
      <x:c r="E150" s="250"/>
      <x:c r="F150" s="251" t="s">
        <x:v>1049</x:v>
      </x:c>
      <x:c r="G150" s="252" t="s">
        <x:v>1050</x:v>
      </x:c>
      <x:c r="H150" s="251">
        <x:v>2</x:v>
      </x:c>
      <x:c r="I150" s="251" t="s">
        <x:v>1089</x:v>
      </x:c>
      <x:c r="J150" s="279">
        <x:v>0.90819300000000003</x:v>
      </x:c>
      <x:c r="K150" s="279">
        <x:v>0.90819300000000003</x:v>
      </x:c>
      <x:c r="L150" s="279">
        <x:v>0.90819300000000003</x:v>
      </x:c>
      <x:c r="M150" s="279">
        <x:v>0.90819300000000003</x:v>
      </x:c>
      <x:c r="N150" s="279">
        <x:v>0.90819300000000003</x:v>
      </x:c>
      <x:c r="O150" s="279">
        <x:v>0.90819300000000003</x:v>
      </x:c>
      <x:c r="P150" s="279">
        <x:v>0.90819300000000003</x:v>
      </x:c>
      <x:c r="Q150" s="279">
        <x:v>0.90819300000000003</x:v>
      </x:c>
      <x:c r="R150" s="279">
        <x:v>0.90819300000000003</x:v>
      </x:c>
      <x:c r="S150" s="279">
        <x:v>0.90819300000000003</x:v>
      </x:c>
      <x:c r="T150" s="279">
        <x:v>0.90819300000000003</x:v>
      </x:c>
      <x:c r="U150" s="279">
        <x:v>0.90819300000000003</x:v>
      </x:c>
      <x:c r="V150" s="65"/>
      <x:c r="W150" s="1063"/>
      <x:c r="X150" s="837">
        <x:v>0</x:v>
      </x:c>
    </x:row>
    <x:row r="151" spans="1:27">
      <x:c r="A151" s="258"/>
      <x:c r="B151" s="1219"/>
      <x:c r="C151" s="235"/>
      <x:c r="D151" s="235" t="s">
        <x:v>332</x:v>
      </x:c>
      <x:c r="E151" s="250"/>
      <x:c r="F151" s="251" t="s">
        <x:v>1051</x:v>
      </x:c>
      <x:c r="G151" s="252" t="s">
        <x:v>1052</x:v>
      </x:c>
      <x:c r="H151" s="251">
        <x:v>4</x:v>
      </x:c>
      <x:c r="I151" s="251" t="s">
        <x:v>1089</x:v>
      </x:c>
      <x:c r="J151" s="279">
        <x:v>1.0509924693199957</x:v>
      </x:c>
      <x:c r="K151" s="279">
        <x:v>1.0509924693199957</x:v>
      </x:c>
      <x:c r="L151" s="279">
        <x:v>1.0509924693199957</x:v>
      </x:c>
      <x:c r="M151" s="279">
        <x:v>1.0509924693199957</x:v>
      </x:c>
      <x:c r="N151" s="279">
        <x:v>1.0509924693199957</x:v>
      </x:c>
      <x:c r="O151" s="279">
        <x:v>1.0509924693199955</x:v>
      </x:c>
      <x:c r="P151" s="279">
        <x:v>1.0509924693199955</x:v>
      </x:c>
      <x:c r="Q151" s="279">
        <x:v>1.0509924693199955</x:v>
      </x:c>
      <x:c r="R151" s="279">
        <x:v>1.0509924693199955</x:v>
      </x:c>
      <x:c r="S151" s="279">
        <x:v>1.0509924693199955</x:v>
      </x:c>
      <x:c r="T151" s="279">
        <x:v>1.0509924693199955</x:v>
      </x:c>
      <x:c r="U151" s="279">
        <x:v>1.0509924693199955</x:v>
      </x:c>
      <x:c r="V151" s="65"/>
      <x:c r="W151" s="1063"/>
      <x:c r="X151" s="837">
        <x:v>0</x:v>
      </x:c>
    </x:row>
    <x:row r="152" spans="1:27" s="48" customFormat="1" ht="13.5">
      <x:c r="A152" s="258"/>
      <x:c r="B152" s="1219"/>
      <x:c r="C152" s="235"/>
      <x:c r="D152" s="235" t="s">
        <x:v>332</x:v>
      </x:c>
      <x:c r="E152" s="250"/>
      <x:c r="F152" s="251" t="s">
        <x:v>1053</x:v>
      </x:c>
      <x:c r="G152" s="252" t="s">
        <x:v>1054</x:v>
      </x:c>
      <x:c r="H152" s="251">
        <x:v>1</x:v>
      </x:c>
      <x:c r="I152" s="251" t="s">
        <x:v>1089</x:v>
      </x:c>
      <x:c r="J152" s="279">
        <x:v>0.62896585598091226</x:v>
      </x:c>
      <x:c r="K152" s="279">
        <x:v>0.62896585598091226</x:v>
      </x:c>
      <x:c r="L152" s="279">
        <x:v>0.62896585598091226</x:v>
      </x:c>
      <x:c r="M152" s="279">
        <x:v>0.62896585598091226</x:v>
      </x:c>
      <x:c r="N152" s="279">
        <x:v>0.62896585598091226</x:v>
      </x:c>
      <x:c r="O152" s="279">
        <x:v>0.62896585598091193</x:v>
      </x:c>
      <x:c r="P152" s="279">
        <x:v>0.62896585598091193</x:v>
      </x:c>
      <x:c r="Q152" s="279">
        <x:v>0.62896585598091193</x:v>
      </x:c>
      <x:c r="R152" s="279">
        <x:v>0.62896585598091193</x:v>
      </x:c>
      <x:c r="S152" s="279">
        <x:v>0.62896585598091193</x:v>
      </x:c>
      <x:c r="T152" s="279">
        <x:v>0.62896585598091193</x:v>
      </x:c>
      <x:c r="U152" s="279">
        <x:v>0.62896585598091193</x:v>
      </x:c>
      <x:c r="V152" s="65"/>
      <x:c r="W152" s="1063"/>
      <x:c r="X152" s="837">
        <x:v>0</x:v>
      </x:c>
    </x:row>
    <x:row r="153" spans="1:27" s="48" customFormat="1" ht="13.5">
      <x:c r="A153" s="258"/>
      <x:c r="B153" s="1219"/>
      <x:c r="C153" s="235"/>
      <x:c r="D153" s="235" t="s">
        <x:v>332</x:v>
      </x:c>
      <x:c r="E153" s="250"/>
      <x:c r="F153" s="251" t="s">
        <x:v>1055</x:v>
      </x:c>
      <x:c r="G153" s="252" t="s">
        <x:v>1056</x:v>
      </x:c>
      <x:c r="H153" s="251">
        <x:v>2</x:v>
      </x:c>
      <x:c r="I153" s="251" t="s">
        <x:v>1089</x:v>
      </x:c>
      <x:c r="J153" s="279">
        <x:v>1.113318657</x:v>
      </x:c>
      <x:c r="K153" s="279">
        <x:v>1.113318657</x:v>
      </x:c>
      <x:c r="L153" s="279">
        <x:v>1.113318657</x:v>
      </x:c>
      <x:c r="M153" s="279">
        <x:v>1.113318657</x:v>
      </x:c>
      <x:c r="N153" s="279">
        <x:v>1.113318657</x:v>
      </x:c>
      <x:c r="O153" s="279">
        <x:v>1.113318657</x:v>
      </x:c>
      <x:c r="P153" s="279">
        <x:v>1.113318657</x:v>
      </x:c>
      <x:c r="Q153" s="279">
        <x:v>1.113318657</x:v>
      </x:c>
      <x:c r="R153" s="279">
        <x:v>1.113318657</x:v>
      </x:c>
      <x:c r="S153" s="279">
        <x:v>1.113318657</x:v>
      </x:c>
      <x:c r="T153" s="279">
        <x:v>1.113318657</x:v>
      </x:c>
      <x:c r="U153" s="279">
        <x:v>1.113318657</x:v>
      </x:c>
      <x:c r="V153" s="65"/>
      <x:c r="W153" s="1063"/>
      <x:c r="X153" s="837">
        <x:v>0</x:v>
      </x:c>
    </x:row>
    <x:row r="154" spans="1:27" s="48" customFormat="1" ht="13.5">
      <x:c r="A154" s="258"/>
      <x:c r="B154" s="1219"/>
      <x:c r="C154" s="235"/>
      <x:c r="D154" s="235" t="s">
        <x:v>332</x:v>
      </x:c>
      <x:c r="E154" s="250"/>
      <x:c r="F154" s="251" t="s">
        <x:v>1057</x:v>
      </x:c>
      <x:c r="G154" s="252" t="s">
        <x:v>1058</x:v>
      </x:c>
      <x:c r="H154" s="251">
        <x:v>1</x:v>
      </x:c>
      <x:c r="I154" s="251" t="s">
        <x:v>1089</x:v>
      </x:c>
      <x:c r="J154" s="279">
        <x:v>0.45370869988957424</x:v>
      </x:c>
      <x:c r="K154" s="279">
        <x:v>0.45370869988957424</x:v>
      </x:c>
      <x:c r="L154" s="279">
        <x:v>0.45370869988957424</x:v>
      </x:c>
      <x:c r="M154" s="279">
        <x:v>0.45370869988957424</x:v>
      </x:c>
      <x:c r="N154" s="279">
        <x:v>0.45370869988957424</x:v>
      </x:c>
      <x:c r="O154" s="279">
        <x:v>0.45370869988957374</x:v>
      </x:c>
      <x:c r="P154" s="279">
        <x:v>0.45370869988957374</x:v>
      </x:c>
      <x:c r="Q154" s="279">
        <x:v>0.45370869988957374</x:v>
      </x:c>
      <x:c r="R154" s="279">
        <x:v>0.45370869988957374</x:v>
      </x:c>
      <x:c r="S154" s="279">
        <x:v>0.45370869988957374</x:v>
      </x:c>
      <x:c r="T154" s="279">
        <x:v>0.45370869988957374</x:v>
      </x:c>
      <x:c r="U154" s="279">
        <x:v>0.45370869988957374</x:v>
      </x:c>
      <x:c r="V154" s="65"/>
      <x:c r="W154" s="1063"/>
      <x:c r="X154" s="837">
        <x:v>0</x:v>
      </x:c>
    </x:row>
    <x:row r="155" spans="1:27" s="48" customFormat="1" ht="14.25" thickBot="1">
      <x:c r="A155" s="264"/>
      <x:c r="B155" s="1223"/>
      <x:c r="C155" s="82"/>
      <x:c r="D155" s="82" t="s">
        <x:v>332</x:v>
      </x:c>
      <x:c r="E155" s="83"/>
      <x:c r="F155" s="84" t="s">
        <x:v>1059</x:v>
      </x:c>
      <x:c r="G155" s="85" t="s">
        <x:v>1060</x:v>
      </x:c>
      <x:c r="H155" s="84">
        <x:v>1</x:v>
      </x:c>
      <x:c r="I155" s="84" t="s">
        <x:v>1089</x:v>
      </x:c>
      <x:c r="J155" s="281">
        <x:v>0.69495033964547337</x:v>
      </x:c>
      <x:c r="K155" s="281">
        <x:v>0.69495033964547337</x:v>
      </x:c>
      <x:c r="L155" s="281">
        <x:v>0.69495033964547337</x:v>
      </x:c>
      <x:c r="M155" s="281">
        <x:v>0.69495033964547337</x:v>
      </x:c>
      <x:c r="N155" s="281">
        <x:v>0.69495033964547337</x:v>
      </x:c>
      <x:c r="O155" s="281">
        <x:v>0.69495033964547304</x:v>
      </x:c>
      <x:c r="P155" s="281">
        <x:v>0.69495033964547304</x:v>
      </x:c>
      <x:c r="Q155" s="281">
        <x:v>0.69495033964547304</x:v>
      </x:c>
      <x:c r="R155" s="281">
        <x:v>0.69495033964547304</x:v>
      </x:c>
      <x:c r="S155" s="281">
        <x:v>0.69495033964547304</x:v>
      </x:c>
      <x:c r="T155" s="281">
        <x:v>0.69495033964547304</x:v>
      </x:c>
      <x:c r="U155" s="281">
        <x:v>0.69495033964547304</x:v>
      </x:c>
      <x:c r="V155" s="87"/>
      <x:c r="W155" s="1064"/>
      <x:c r="X155" s="837">
        <x:v>0</x:v>
      </x:c>
    </x:row>
    <x:row r="156" spans="1:27" s="48" customFormat="1" ht="17.25" thickTop="1">
      <x:c r="A156" s="94"/>
      <x:c r="B156" s="94"/>
      <x:c r="C156" s="94"/>
      <x:c r="D156" s="94"/>
      <x:c r="E156" s="94"/>
      <x:c r="F156" s="95"/>
      <x:c r="G156" s="94"/>
      <x:c r="H156" s="94"/>
      <x:c r="I156" s="94"/>
      <x:c r="J156" s="94"/>
      <x:c r="K156" s="94"/>
      <x:c r="L156" s="94"/>
      <x:c r="M156" s="94"/>
      <x:c r="N156" s="94"/>
      <x:c r="O156" s="94"/>
      <x:c r="P156" s="94"/>
      <x:c r="Q156" s="94"/>
      <x:c r="R156" s="94"/>
      <x:c r="S156" s="94"/>
      <x:c r="T156" s="94"/>
      <x:c r="U156" s="1169">
        <x:v>5090.93</x:v>
      </x:c>
      <x:c r="V156" s="94"/>
      <x:c r="W156" s="1069"/>
    </x:row>
    <x:row r="157" spans="1:27" s="48" customFormat="1" ht="17.25">
      <x:c r="A157" s="93" t="s">
        <x:v>430</x:v>
      </x:c>
      <x:c r="B157" s="94"/>
      <x:c r="C157" s="94"/>
      <x:c r="D157" s="94"/>
      <x:c r="E157" s="94"/>
      <x:c r="F157" s="95"/>
      <x:c r="G157" s="106" t="s">
        <x:v>431</x:v>
      </x:c>
      <x:c r="H157" s="107"/>
      <x:c r="I157" s="108">
        <x:v>51</x:v>
      </x:c>
      <x:c r="J157" s="94"/>
      <x:c r="K157" s="106" t="s">
        <x:v>1521</x:v>
      </x:c>
      <x:c r="L157" s="1170">
        <x:f>+'Exchange Rate'!$D$13</x:f>
        <x:v>43</x:v>
      </x:c>
      <x:c r="M157" s="94"/>
      <x:c r="N157" s="94"/>
      <x:c r="O157" s="94"/>
      <x:c r="P157" s="94"/>
      <x:c r="Q157" s="94"/>
      <x:c r="R157" s="94"/>
      <x:c r="S157" s="94"/>
      <x:c r="T157" s="94"/>
      <x:c r="U157" s="94"/>
      <x:c r="V157" s="94"/>
      <x:c r="W157" s="1066" t="s">
        <x:v>432</x:v>
      </x:c>
    </x:row>
    <x:row r="158" spans="1:27" s="48" customFormat="1" ht="13.5">
      <x:c r="A158" s="1240" t="s">
        <x:v>421</x:v>
      </x:c>
      <x:c r="B158" s="1234" t="s">
        <x:v>309</x:v>
      </x:c>
      <x:c r="C158" s="1241" t="s">
        <x:v>422</x:v>
      </x:c>
      <x:c r="D158" s="1241"/>
      <x:c r="E158" s="1241"/>
      <x:c r="F158" s="1242" t="s">
        <x:v>423</x:v>
      </x:c>
      <x:c r="G158" s="1234" t="s">
        <x:v>424</x:v>
      </x:c>
      <x:c r="H158" s="1234" t="s">
        <x:v>425</x:v>
      </x:c>
      <x:c r="I158" s="1234" t="s">
        <x:v>426</x:v>
      </x:c>
      <x:c r="J158" s="1235" t="s">
        <x:v>433</x:v>
      </x:c>
      <x:c r="K158" s="1235"/>
      <x:c r="L158" s="1235"/>
      <x:c r="M158" s="1235"/>
      <x:c r="N158" s="1235"/>
      <x:c r="O158" s="1235"/>
      <x:c r="P158" s="1235"/>
      <x:c r="Q158" s="1235"/>
      <x:c r="R158" s="1235"/>
      <x:c r="S158" s="1235"/>
      <x:c r="T158" s="1235"/>
      <x:c r="U158" s="1235"/>
      <x:c r="V158" s="1235"/>
      <x:c r="W158" s="1236" t="s">
        <x:v>426</x:v>
      </x:c>
    </x:row>
    <x:row r="159" spans="1:27" s="48" customFormat="1" ht="14.25" thickBot="1">
      <x:c r="A159" s="1240"/>
      <x:c r="B159" s="1234"/>
      <x:c r="C159" s="270">
        <x:v>1</x:v>
      </x:c>
      <x:c r="D159" s="270">
        <x:v>2</x:v>
      </x:c>
      <x:c r="E159" s="270">
        <x:v>3</x:v>
      </x:c>
      <x:c r="F159" s="1242"/>
      <x:c r="G159" s="1234"/>
      <x:c r="H159" s="1234"/>
      <x:c r="I159" s="1234"/>
      <x:c r="J159" s="271" t="s">
        <x:v>428</x:v>
      </x:c>
      <x:c r="K159" s="271" t="s">
        <x:v>318</x:v>
      </x:c>
      <x:c r="L159" s="271" t="s">
        <x:v>319</x:v>
      </x:c>
      <x:c r="M159" s="271" t="s">
        <x:v>320</x:v>
      </x:c>
      <x:c r="N159" s="271" t="s">
        <x:v>321</x:v>
      </x:c>
      <x:c r="O159" s="271" t="s">
        <x:v>322</x:v>
      </x:c>
      <x:c r="P159" s="271" t="s">
        <x:v>323</x:v>
      </x:c>
      <x:c r="Q159" s="271" t="s">
        <x:v>324</x:v>
      </x:c>
      <x:c r="R159" s="271" t="s">
        <x:v>325</x:v>
      </x:c>
      <x:c r="S159" s="271" t="s">
        <x:v>326</x:v>
      </x:c>
      <x:c r="T159" s="271" t="s">
        <x:v>327</x:v>
      </x:c>
      <x:c r="U159" s="271" t="s">
        <x:v>328</x:v>
      </x:c>
      <x:c r="V159" s="272" t="s">
        <x:v>429</x:v>
      </x:c>
      <x:c r="W159" s="1236"/>
    </x:row>
    <x:row r="160" spans="1:27" s="48" customFormat="1" ht="14.25" thickTop="1">
      <x:c r="A160" s="51" t="s">
        <x:v>330</x:v>
      </x:c>
      <x:c r="B160" s="52" t="s">
        <x:v>331</x:v>
      </x:c>
      <x:c r="C160" s="53" t="s">
        <x:v>332</x:v>
      </x:c>
      <x:c r="D160" s="53"/>
      <x:c r="E160" s="53"/>
      <x:c r="F160" s="53" t="s">
        <x:v>333</x:v>
      </x:c>
      <x:c r="G160" s="54" t="s">
        <x:v>334</x:v>
      </x:c>
      <x:c r="H160" s="53">
        <x:v>1</x:v>
      </x:c>
      <x:c r="I160" s="53" t="s">
        <x:v>1088</x:v>
      </x:c>
      <x:c r="J160" s="109">
        <x:f>+$I$157*J83</x:f>
        <x:v>4739.378999999999</x:v>
      </x:c>
      <x:c r="K160" s="109">
        <x:f t="shared" ref="K160:T160" si="9">+$I$157*K83</x:f>
        <x:v>4739.378999999999</x:v>
      </x:c>
      <x:c r="L160" s="109">
        <x:f t="shared" si="9"/>
        <x:v>4739.378999999999</x:v>
      </x:c>
      <x:c r="M160" s="109">
        <x:f t="shared" si="9"/>
        <x:v>4739.378999999999</x:v>
      </x:c>
      <x:c r="N160" s="109">
        <x:f t="shared" si="9"/>
        <x:v>4739.378999999999</x:v>
      </x:c>
      <x:c r="O160" s="109">
        <x:f t="shared" si="9"/>
        <x:v>4739.378999999999</x:v>
      </x:c>
      <x:c r="P160" s="109">
        <x:f t="shared" si="9"/>
        <x:v>4739.378999999999</x:v>
      </x:c>
      <x:c r="Q160" s="109">
        <x:f t="shared" si="9"/>
        <x:v>4739.378999999999</x:v>
      </x:c>
      <x:c r="R160" s="109">
        <x:f t="shared" si="9"/>
        <x:v>4739.378999999999</x:v>
      </x:c>
      <x:c r="S160" s="109">
        <x:f t="shared" si="9"/>
        <x:v>4739.378999999999</x:v>
      </x:c>
      <x:c r="T160" s="109">
        <x:f t="shared" si="9"/>
        <x:v>4739.378999999999</x:v>
      </x:c>
      <x:c r="U160" s="109">
        <x:f t="shared" ref="U160:U195" si="10">+$I$157*U83</x:f>
        <x:v>4739.378999999999</x:v>
      </x:c>
      <x:c r="V160" s="110"/>
      <x:c r="W160" s="1046" t="s">
        <x:v>335</x:v>
      </x:c>
    </x:row>
    <x:row r="161" spans="1:23" s="48" customFormat="1" ht="13.5">
      <x:c r="A161" s="58" t="s">
        <x:v>336</x:v>
      </x:c>
      <x:c r="B161" s="59"/>
      <x:c r="C161" s="235" t="s">
        <x:v>332</x:v>
      </x:c>
      <x:c r="D161" s="235"/>
      <x:c r="E161" s="235"/>
      <x:c r="F161" s="235" t="s">
        <x:v>337</x:v>
      </x:c>
      <x:c r="G161" s="236" t="s">
        <x:v>338</x:v>
      </x:c>
      <x:c r="H161" s="235">
        <x:v>1</x:v>
      </x:c>
      <x:c r="I161" s="235" t="s">
        <x:v>1089</x:v>
      </x:c>
      <x:c r="J161" s="282">
        <x:f t="shared" ref="J161:T161" si="11">+$I$157*J84</x:f>
        <x:v>966.57749999999987</x:v>
      </x:c>
      <x:c r="K161" s="282">
        <x:f t="shared" si="11"/>
        <x:v>966.57749999999987</x:v>
      </x:c>
      <x:c r="L161" s="282">
        <x:f t="shared" si="11"/>
        <x:v>966.57749999999987</x:v>
      </x:c>
      <x:c r="M161" s="282">
        <x:f t="shared" si="11"/>
        <x:v>966.57749999999987</x:v>
      </x:c>
      <x:c r="N161" s="282">
        <x:f t="shared" si="11"/>
        <x:v>966.57749999999987</x:v>
      </x:c>
      <x:c r="O161" s="282">
        <x:f t="shared" si="11"/>
        <x:v>966.57749999999987</x:v>
      </x:c>
      <x:c r="P161" s="282">
        <x:f t="shared" si="11"/>
        <x:v>966.57749999999987</x:v>
      </x:c>
      <x:c r="Q161" s="282">
        <x:f t="shared" si="11"/>
        <x:v>966.57749999999987</x:v>
      </x:c>
      <x:c r="R161" s="282">
        <x:f t="shared" si="11"/>
        <x:v>966.57749999999987</x:v>
      </x:c>
      <x:c r="S161" s="282">
        <x:f t="shared" si="11"/>
        <x:v>966.57749999999987</x:v>
      </x:c>
      <x:c r="T161" s="282">
        <x:f t="shared" si="11"/>
        <x:v>966.57749999999987</x:v>
      </x:c>
      <x:c r="U161" s="282">
        <x:f t="shared" si="10"/>
        <x:v>966.57749999999987</x:v>
      </x:c>
      <x:c r="V161" s="111"/>
      <x:c r="W161" s="1046" t="s">
        <x:v>339</x:v>
      </x:c>
    </x:row>
    <x:row r="162" spans="1:23" s="48" customFormat="1" ht="13.5">
      <x:c r="A162" s="58"/>
      <x:c r="B162" s="59"/>
      <x:c r="C162" s="61" t="s">
        <x:v>332</x:v>
      </x:c>
      <x:c r="D162" s="61"/>
      <x:c r="E162" s="61"/>
      <x:c r="F162" s="61" t="s">
        <x:v>340</x:v>
      </x:c>
      <x:c r="G162" s="62" t="s">
        <x:v>341</x:v>
      </x:c>
      <x:c r="H162" s="61">
        <x:v>3</x:v>
      </x:c>
      <x:c r="I162" s="61" t="s">
        <x:v>1089</x:v>
      </x:c>
      <x:c r="J162" s="283">
        <x:f t="shared" ref="J162:T162" si="12">+$I$157*J85</x:f>
        <x:v>185.63575852738899</x:v>
      </x:c>
      <x:c r="K162" s="112">
        <x:f t="shared" si="12"/>
        <x:v>185.63575852738899</x:v>
      </x:c>
      <x:c r="L162" s="112">
        <x:f t="shared" si="12"/>
        <x:v>185.63575852738899</x:v>
      </x:c>
      <x:c r="M162" s="112">
        <x:f t="shared" si="12"/>
        <x:v>185.63575852738899</x:v>
      </x:c>
      <x:c r="N162" s="112">
        <x:f t="shared" si="12"/>
        <x:v>185.63575852738899</x:v>
      </x:c>
      <x:c r="O162" s="112">
        <x:f t="shared" si="12"/>
        <x:v>185.63575852738899</x:v>
      </x:c>
      <x:c r="P162" s="112">
        <x:f t="shared" si="12"/>
        <x:v>185.63575852738899</x:v>
      </x:c>
      <x:c r="Q162" s="112">
        <x:f t="shared" si="12"/>
        <x:v>185.63575852738899</x:v>
      </x:c>
      <x:c r="R162" s="112">
        <x:f t="shared" si="12"/>
        <x:v>185.63575852738899</x:v>
      </x:c>
      <x:c r="S162" s="112">
        <x:f t="shared" si="12"/>
        <x:v>185.63575852738899</x:v>
      </x:c>
      <x:c r="T162" s="112">
        <x:f t="shared" si="12"/>
        <x:v>185.63575852738899</x:v>
      </x:c>
      <x:c r="U162" s="112">
        <x:f t="shared" si="10"/>
        <x:v>185.63575852738899</x:v>
      </x:c>
      <x:c r="V162" s="113"/>
      <x:c r="W162" s="1046" t="s">
        <x:v>339</x:v>
      </x:c>
    </x:row>
    <x:row r="163" spans="1:23" s="48" customFormat="1" ht="13.5">
      <x:c r="A163" s="58"/>
      <x:c r="B163" s="59"/>
      <x:c r="C163" s="240" t="s">
        <x:v>332</x:v>
      </x:c>
      <x:c r="D163" s="240"/>
      <x:c r="E163" s="240"/>
      <x:c r="F163" s="240" t="s">
        <x:v>342</x:v>
      </x:c>
      <x:c r="G163" s="241" t="s">
        <x:v>343</x:v>
      </x:c>
      <x:c r="H163" s="240">
        <x:v>3</x:v>
      </x:c>
      <x:c r="I163" s="240" t="s">
        <x:v>1089</x:v>
      </x:c>
      <x:c r="J163" s="284">
        <x:f t="shared" ref="J163:T163" si="13">+$I$157*J86</x:f>
        <x:v>254.37778576947539</x:v>
      </x:c>
      <x:c r="K163" s="285">
        <x:f t="shared" si="13"/>
        <x:v>254.37778576947539</x:v>
      </x:c>
      <x:c r="L163" s="285">
        <x:f t="shared" si="13"/>
        <x:v>254.37778576947539</x:v>
      </x:c>
      <x:c r="M163" s="285">
        <x:f t="shared" si="13"/>
        <x:v>254.37778576947539</x:v>
      </x:c>
      <x:c r="N163" s="285">
        <x:f t="shared" si="13"/>
        <x:v>254.37778576947539</x:v>
      </x:c>
      <x:c r="O163" s="285">
        <x:f t="shared" si="13"/>
        <x:v>254.37778576947539</x:v>
      </x:c>
      <x:c r="P163" s="285">
        <x:f t="shared" si="13"/>
        <x:v>254.37778576947539</x:v>
      </x:c>
      <x:c r="Q163" s="285">
        <x:f t="shared" si="13"/>
        <x:v>254.37778576947539</x:v>
      </x:c>
      <x:c r="R163" s="285">
        <x:f t="shared" si="13"/>
        <x:v>254.37778576947539</x:v>
      </x:c>
      <x:c r="S163" s="285">
        <x:f t="shared" si="13"/>
        <x:v>254.37778576947539</x:v>
      </x:c>
      <x:c r="T163" s="285">
        <x:f t="shared" si="13"/>
        <x:v>254.37778576947539</x:v>
      </x:c>
      <x:c r="U163" s="285">
        <x:f t="shared" si="10"/>
        <x:v>254.37778576947539</x:v>
      </x:c>
      <x:c r="V163" s="113"/>
      <x:c r="W163" s="1046" t="s">
        <x:v>339</x:v>
      </x:c>
    </x:row>
    <x:row r="164" spans="1:23" s="48" customFormat="1" ht="13.5">
      <x:c r="A164" s="58"/>
      <x:c r="B164" s="59"/>
      <x:c r="C164" s="235" t="s">
        <x:v>332</x:v>
      </x:c>
      <x:c r="D164" s="235"/>
      <x:c r="E164" s="235"/>
      <x:c r="F164" s="235" t="s">
        <x:v>344</x:v>
      </x:c>
      <x:c r="G164" s="236" t="s">
        <x:v>345</x:v>
      </x:c>
      <x:c r="H164" s="235">
        <x:v>1</x:v>
      </x:c>
      <x:c r="I164" s="235" t="s">
        <x:v>1089</x:v>
      </x:c>
      <x:c r="J164" s="284">
        <x:f t="shared" ref="J164:T164" si="14">+$I$157*J87</x:f>
        <x:v>124.50201438674527</x:v>
      </x:c>
      <x:c r="K164" s="285">
        <x:f t="shared" si="14"/>
        <x:v>124.50201438674527</x:v>
      </x:c>
      <x:c r="L164" s="285">
        <x:f t="shared" si="14"/>
        <x:v>124.50201438674527</x:v>
      </x:c>
      <x:c r="M164" s="285">
        <x:f t="shared" si="14"/>
        <x:v>124.50201438674527</x:v>
      </x:c>
      <x:c r="N164" s="285">
        <x:f t="shared" si="14"/>
        <x:v>124.50201438674527</x:v>
      </x:c>
      <x:c r="O164" s="285">
        <x:f t="shared" si="14"/>
        <x:v>124.50201438674527</x:v>
      </x:c>
      <x:c r="P164" s="285">
        <x:f t="shared" si="14"/>
        <x:v>124.50201438674527</x:v>
      </x:c>
      <x:c r="Q164" s="285">
        <x:f t="shared" si="14"/>
        <x:v>124.50201438674527</x:v>
      </x:c>
      <x:c r="R164" s="285">
        <x:f t="shared" si="14"/>
        <x:v>124.50201438674527</x:v>
      </x:c>
      <x:c r="S164" s="285">
        <x:f t="shared" si="14"/>
        <x:v>124.50201438674527</x:v>
      </x:c>
      <x:c r="T164" s="285">
        <x:f t="shared" si="14"/>
        <x:v>124.50201438674527</x:v>
      </x:c>
      <x:c r="U164" s="285">
        <x:f t="shared" si="10"/>
        <x:v>124.50201438674527</x:v>
      </x:c>
      <x:c r="V164" s="114"/>
      <x:c r="W164" s="1046" t="s">
        <x:v>339</x:v>
      </x:c>
    </x:row>
    <x:row r="165" spans="1:23" s="48" customFormat="1" ht="13.5">
      <x:c r="A165" s="58"/>
      <x:c r="B165" s="66" t="s">
        <x:v>346</x:v>
      </x:c>
      <x:c r="C165" s="67" t="s">
        <x:v>332</x:v>
      </x:c>
      <x:c r="D165" s="67"/>
      <x:c r="E165" s="67"/>
      <x:c r="F165" s="67" t="s">
        <x:v>333</x:v>
      </x:c>
      <x:c r="G165" s="68" t="s">
        <x:v>334</x:v>
      </x:c>
      <x:c r="H165" s="67">
        <x:v>1</x:v>
      </x:c>
      <x:c r="I165" s="67" t="s">
        <x:v>1088</x:v>
      </x:c>
      <x:c r="J165" s="286">
        <x:f t="shared" ref="J165:T165" si="15">+$I$157*J88</x:f>
        <x:v>4988.82</x:v>
      </x:c>
      <x:c r="K165" s="115">
        <x:f t="shared" si="15"/>
        <x:v>4988.82</x:v>
      </x:c>
      <x:c r="L165" s="115">
        <x:f t="shared" si="15"/>
        <x:v>4988.82</x:v>
      </x:c>
      <x:c r="M165" s="115">
        <x:f t="shared" si="15"/>
        <x:v>4988.82</x:v>
      </x:c>
      <x:c r="N165" s="115">
        <x:f t="shared" si="15"/>
        <x:v>4988.82</x:v>
      </x:c>
      <x:c r="O165" s="115">
        <x:f t="shared" si="15"/>
        <x:v>4988.82</x:v>
      </x:c>
      <x:c r="P165" s="115">
        <x:f t="shared" si="15"/>
        <x:v>4988.82</x:v>
      </x:c>
      <x:c r="Q165" s="115">
        <x:f t="shared" si="15"/>
        <x:v>4988.82</x:v>
      </x:c>
      <x:c r="R165" s="115">
        <x:f t="shared" si="15"/>
        <x:v>4988.82</x:v>
      </x:c>
      <x:c r="S165" s="115">
        <x:f t="shared" si="15"/>
        <x:v>4988.82</x:v>
      </x:c>
      <x:c r="T165" s="115">
        <x:f t="shared" si="15"/>
        <x:v>4988.82</x:v>
      </x:c>
      <x:c r="U165" s="115">
        <x:f t="shared" si="10"/>
        <x:v>4988.82</x:v>
      </x:c>
      <x:c r="V165" s="116"/>
      <x:c r="W165" s="1052" t="s">
        <x:v>347</x:v>
      </x:c>
    </x:row>
    <x:row r="166" spans="1:23" s="48" customFormat="1" ht="13.5">
      <x:c r="A166" s="58"/>
      <x:c r="B166" s="59"/>
      <x:c r="C166" s="235" t="s">
        <x:v>332</x:v>
      </x:c>
      <x:c r="D166" s="235"/>
      <x:c r="E166" s="235"/>
      <x:c r="F166" s="235" t="s">
        <x:v>337</x:v>
      </x:c>
      <x:c r="G166" s="236" t="s">
        <x:v>338</x:v>
      </x:c>
      <x:c r="H166" s="235">
        <x:v>1</x:v>
      </x:c>
      <x:c r="I166" s="235" t="s">
        <x:v>1089</x:v>
      </x:c>
      <x:c r="J166" s="287">
        <x:f t="shared" ref="J166:T166" si="16">+$I$157*J89</x:f>
        <x:v>1017.4499999999999</x:v>
      </x:c>
      <x:c r="K166" s="282">
        <x:f t="shared" si="16"/>
        <x:v>1017.4499999999999</x:v>
      </x:c>
      <x:c r="L166" s="282">
        <x:f t="shared" si="16"/>
        <x:v>1017.4499999999999</x:v>
      </x:c>
      <x:c r="M166" s="282">
        <x:f t="shared" si="16"/>
        <x:v>1017.4499999999999</x:v>
      </x:c>
      <x:c r="N166" s="282">
        <x:f t="shared" si="16"/>
        <x:v>1017.4499999999999</x:v>
      </x:c>
      <x:c r="O166" s="282">
        <x:f t="shared" si="16"/>
        <x:v>1017.4499999999999</x:v>
      </x:c>
      <x:c r="P166" s="282">
        <x:f t="shared" si="16"/>
        <x:v>1017.4499999999999</x:v>
      </x:c>
      <x:c r="Q166" s="282">
        <x:f t="shared" si="16"/>
        <x:v>1017.4499999999999</x:v>
      </x:c>
      <x:c r="R166" s="282">
        <x:f t="shared" si="16"/>
        <x:v>1017.4499999999999</x:v>
      </x:c>
      <x:c r="S166" s="282">
        <x:f t="shared" si="16"/>
        <x:v>1017.4499999999999</x:v>
      </x:c>
      <x:c r="T166" s="282">
        <x:f t="shared" si="16"/>
        <x:v>1017.4499999999999</x:v>
      </x:c>
      <x:c r="U166" s="282">
        <x:f t="shared" si="10"/>
        <x:v>1017.4499999999999</x:v>
      </x:c>
      <x:c r="V166" s="111"/>
      <x:c r="W166" s="1046" t="s">
        <x:v>339</x:v>
      </x:c>
    </x:row>
    <x:row r="167" spans="1:23" s="48" customFormat="1" ht="13.5">
      <x:c r="A167" s="58"/>
      <x:c r="B167" s="59"/>
      <x:c r="C167" s="61" t="s">
        <x:v>332</x:v>
      </x:c>
      <x:c r="D167" s="61"/>
      <x:c r="E167" s="61"/>
      <x:c r="F167" s="61" t="s">
        <x:v>340</x:v>
      </x:c>
      <x:c r="G167" s="62" t="s">
        <x:v>341</x:v>
      </x:c>
      <x:c r="H167" s="61">
        <x:v>3</x:v>
      </x:c>
      <x:c r="I167" s="61" t="s">
        <x:v>1089</x:v>
      </x:c>
      <x:c r="J167" s="283">
        <x:f t="shared" ref="J167:T167" si="17">+$I$157*J90</x:f>
        <x:v>195.40606160777787</x:v>
      </x:c>
      <x:c r="K167" s="112">
        <x:f t="shared" si="17"/>
        <x:v>195.40606160777787</x:v>
      </x:c>
      <x:c r="L167" s="112">
        <x:f t="shared" si="17"/>
        <x:v>195.40606160777787</x:v>
      </x:c>
      <x:c r="M167" s="112">
        <x:f t="shared" si="17"/>
        <x:v>195.40606160777787</x:v>
      </x:c>
      <x:c r="N167" s="112">
        <x:f t="shared" si="17"/>
        <x:v>195.40606160777787</x:v>
      </x:c>
      <x:c r="O167" s="112">
        <x:f t="shared" si="17"/>
        <x:v>195.40606160777787</x:v>
      </x:c>
      <x:c r="P167" s="112">
        <x:f t="shared" si="17"/>
        <x:v>195.40606160777787</x:v>
      </x:c>
      <x:c r="Q167" s="112">
        <x:f t="shared" si="17"/>
        <x:v>195.40606160777787</x:v>
      </x:c>
      <x:c r="R167" s="112">
        <x:f t="shared" si="17"/>
        <x:v>195.40606160777787</x:v>
      </x:c>
      <x:c r="S167" s="112">
        <x:f t="shared" si="17"/>
        <x:v>195.40606160777787</x:v>
      </x:c>
      <x:c r="T167" s="112">
        <x:f t="shared" si="17"/>
        <x:v>195.40606160777787</x:v>
      </x:c>
      <x:c r="U167" s="112">
        <x:f t="shared" si="10"/>
        <x:v>195.40606160777787</x:v>
      </x:c>
      <x:c r="V167" s="113"/>
      <x:c r="W167" s="1046" t="s">
        <x:v>339</x:v>
      </x:c>
    </x:row>
    <x:row r="168" spans="1:23" s="48" customFormat="1" ht="13.5">
      <x:c r="A168" s="58"/>
      <x:c r="B168" s="59"/>
      <x:c r="C168" s="240" t="s">
        <x:v>332</x:v>
      </x:c>
      <x:c r="D168" s="240"/>
      <x:c r="E168" s="240"/>
      <x:c r="F168" s="240" t="s">
        <x:v>342</x:v>
      </x:c>
      <x:c r="G168" s="241" t="s">
        <x:v>343</x:v>
      </x:c>
      <x:c r="H168" s="240">
        <x:v>3</x:v>
      </x:c>
      <x:c r="I168" s="240" t="s">
        <x:v>1089</x:v>
      </x:c>
      <x:c r="J168" s="284">
        <x:f t="shared" ref="J168:T168" si="18">+$I$157*J91</x:f>
        <x:v>267.76609028365834</x:v>
      </x:c>
      <x:c r="K168" s="285">
        <x:f t="shared" si="18"/>
        <x:v>267.76609028365834</x:v>
      </x:c>
      <x:c r="L168" s="285">
        <x:f t="shared" si="18"/>
        <x:v>267.76609028365834</x:v>
      </x:c>
      <x:c r="M168" s="285">
        <x:f t="shared" si="18"/>
        <x:v>267.76609028365834</x:v>
      </x:c>
      <x:c r="N168" s="285">
        <x:f t="shared" si="18"/>
        <x:v>267.76609028365834</x:v>
      </x:c>
      <x:c r="O168" s="285">
        <x:f t="shared" si="18"/>
        <x:v>267.76609028365834</x:v>
      </x:c>
      <x:c r="P168" s="285">
        <x:f t="shared" si="18"/>
        <x:v>267.76609028365834</x:v>
      </x:c>
      <x:c r="Q168" s="285">
        <x:f t="shared" si="18"/>
        <x:v>267.76609028365834</x:v>
      </x:c>
      <x:c r="R168" s="285">
        <x:f t="shared" si="18"/>
        <x:v>267.76609028365834</x:v>
      </x:c>
      <x:c r="S168" s="285">
        <x:f t="shared" si="18"/>
        <x:v>267.76609028365834</x:v>
      </x:c>
      <x:c r="T168" s="285">
        <x:f t="shared" si="18"/>
        <x:v>267.76609028365834</x:v>
      </x:c>
      <x:c r="U168" s="285">
        <x:f t="shared" si="10"/>
        <x:v>267.76609028365834</x:v>
      </x:c>
      <x:c r="V168" s="113"/>
      <x:c r="W168" s="1046" t="s">
        <x:v>339</x:v>
      </x:c>
    </x:row>
    <x:row r="169" spans="1:23" s="48" customFormat="1" ht="13.5">
      <x:c r="A169" s="58"/>
      <x:c r="B169" s="69"/>
      <x:c r="C169" s="240" t="s">
        <x:v>332</x:v>
      </x:c>
      <x:c r="D169" s="240"/>
      <x:c r="E169" s="240"/>
      <x:c r="F169" s="240" t="s">
        <x:v>344</x:v>
      </x:c>
      <x:c r="G169" s="241" t="s">
        <x:v>345</x:v>
      </x:c>
      <x:c r="H169" s="240">
        <x:v>1</x:v>
      </x:c>
      <x:c r="I169" s="240" t="s">
        <x:v>1089</x:v>
      </x:c>
      <x:c r="J169" s="284">
        <x:f t="shared" ref="J169:T169" si="19">+$I$157*J92</x:f>
        <x:v>131.05475198604765</x:v>
      </x:c>
      <x:c r="K169" s="285">
        <x:f t="shared" si="19"/>
        <x:v>131.05475198604765</x:v>
      </x:c>
      <x:c r="L169" s="285">
        <x:f t="shared" si="19"/>
        <x:v>131.05475198604765</x:v>
      </x:c>
      <x:c r="M169" s="285">
        <x:f t="shared" si="19"/>
        <x:v>131.05475198604765</x:v>
      </x:c>
      <x:c r="N169" s="285">
        <x:f t="shared" si="19"/>
        <x:v>131.05475198604765</x:v>
      </x:c>
      <x:c r="O169" s="285">
        <x:f t="shared" si="19"/>
        <x:v>131.05475198604765</x:v>
      </x:c>
      <x:c r="P169" s="285">
        <x:f t="shared" si="19"/>
        <x:v>131.05475198604765</x:v>
      </x:c>
      <x:c r="Q169" s="285">
        <x:f t="shared" si="19"/>
        <x:v>131.05475198604765</x:v>
      </x:c>
      <x:c r="R169" s="285">
        <x:f t="shared" si="19"/>
        <x:v>131.05475198604765</x:v>
      </x:c>
      <x:c r="S169" s="285">
        <x:f t="shared" si="19"/>
        <x:v>131.05475198604765</x:v>
      </x:c>
      <x:c r="T169" s="285">
        <x:f t="shared" si="19"/>
        <x:v>131.05475198604765</x:v>
      </x:c>
      <x:c r="U169" s="285">
        <x:f t="shared" si="10"/>
        <x:v>131.05475198604765</x:v>
      </x:c>
      <x:c r="V169" s="113"/>
      <x:c r="W169" s="1046" t="s">
        <x:v>339</x:v>
      </x:c>
    </x:row>
    <x:row r="170" spans="1:23" s="48" customFormat="1" ht="13.5">
      <x:c r="A170" s="58"/>
      <x:c r="B170" s="66" t="s">
        <x:v>1034</x:v>
      </x:c>
      <x:c r="C170" s="235" t="s">
        <x:v>332</x:v>
      </x:c>
      <x:c r="D170" s="235"/>
      <x:c r="E170" s="235"/>
      <x:c r="F170" s="235" t="s">
        <x:v>348</x:v>
      </x:c>
      <x:c r="G170" s="236" t="s">
        <x:v>1092</x:v>
      </x:c>
      <x:c r="H170" s="235">
        <x:v>1</x:v>
      </x:c>
      <x:c r="I170" s="235" t="s">
        <x:v>1089</x:v>
      </x:c>
      <x:c r="J170" s="287">
        <x:f t="shared" ref="J170:T170" si="20">+$I$157*J93</x:f>
        <x:v>6796.77</x:v>
      </x:c>
      <x:c r="K170" s="282">
        <x:f t="shared" si="20"/>
        <x:v>6796.77</x:v>
      </x:c>
      <x:c r="L170" s="282">
        <x:f t="shared" si="20"/>
        <x:v>6796.77</x:v>
      </x:c>
      <x:c r="M170" s="282">
        <x:f t="shared" si="20"/>
        <x:v>6796.77</x:v>
      </x:c>
      <x:c r="N170" s="282">
        <x:f t="shared" si="20"/>
        <x:v>6796.77</x:v>
      </x:c>
      <x:c r="O170" s="282">
        <x:f t="shared" si="20"/>
        <x:v>6796.77</x:v>
      </x:c>
      <x:c r="P170" s="282">
        <x:f t="shared" si="20"/>
        <x:v>6796.77</x:v>
      </x:c>
      <x:c r="Q170" s="282">
        <x:f t="shared" si="20"/>
        <x:v>6796.77</x:v>
      </x:c>
      <x:c r="R170" s="282">
        <x:f t="shared" si="20"/>
        <x:v>6796.77</x:v>
      </x:c>
      <x:c r="S170" s="282">
        <x:f t="shared" si="20"/>
        <x:v>6796.77</x:v>
      </x:c>
      <x:c r="T170" s="282">
        <x:f t="shared" si="20"/>
        <x:v>6796.77</x:v>
      </x:c>
      <x:c r="U170" s="282">
        <x:f t="shared" si="10"/>
        <x:v>6796.77</x:v>
      </x:c>
      <x:c r="V170" s="111"/>
      <x:c r="W170" s="1046" t="s">
        <x:v>349</x:v>
      </x:c>
    </x:row>
    <x:row r="171" spans="1:23" s="48" customFormat="1" ht="13.5">
      <x:c r="A171" s="58"/>
      <x:c r="B171" s="70"/>
      <x:c r="C171" s="235" t="s">
        <x:v>332</x:v>
      </x:c>
      <x:c r="D171" s="235"/>
      <x:c r="E171" s="235"/>
      <x:c r="F171" s="235" t="s">
        <x:v>350</x:v>
      </x:c>
      <x:c r="G171" s="236" t="s">
        <x:v>1093</x:v>
      </x:c>
      <x:c r="H171" s="235">
        <x:v>1</x:v>
      </x:c>
      <x:c r="I171" s="235" t="s">
        <x:v>1089</x:v>
      </x:c>
      <x:c r="J171" s="287">
        <x:f t="shared" ref="J171:T171" si="21">+$I$157*J94</x:f>
        <x:v>1394.8500000000001</x:v>
      </x:c>
      <x:c r="K171" s="282">
        <x:f t="shared" si="21"/>
        <x:v>1394.8500000000001</x:v>
      </x:c>
      <x:c r="L171" s="282">
        <x:f t="shared" si="21"/>
        <x:v>1394.8500000000001</x:v>
      </x:c>
      <x:c r="M171" s="282">
        <x:f t="shared" si="21"/>
        <x:v>1394.8500000000001</x:v>
      </x:c>
      <x:c r="N171" s="282">
        <x:f t="shared" si="21"/>
        <x:v>1394.8500000000001</x:v>
      </x:c>
      <x:c r="O171" s="282">
        <x:f t="shared" si="21"/>
        <x:v>1394.8500000000001</x:v>
      </x:c>
      <x:c r="P171" s="282">
        <x:f t="shared" si="21"/>
        <x:v>1394.8500000000001</x:v>
      </x:c>
      <x:c r="Q171" s="282">
        <x:f t="shared" si="21"/>
        <x:v>1394.8500000000001</x:v>
      </x:c>
      <x:c r="R171" s="282">
        <x:f t="shared" si="21"/>
        <x:v>1394.8500000000001</x:v>
      </x:c>
      <x:c r="S171" s="282">
        <x:f t="shared" si="21"/>
        <x:v>1394.8500000000001</x:v>
      </x:c>
      <x:c r="T171" s="282">
        <x:f t="shared" si="21"/>
        <x:v>1394.8500000000001</x:v>
      </x:c>
      <x:c r="U171" s="282">
        <x:f t="shared" si="10"/>
        <x:v>1394.8500000000001</x:v>
      </x:c>
      <x:c r="V171" s="111"/>
      <x:c r="W171" s="1046"/>
    </x:row>
    <x:row r="172" spans="1:23" s="48" customFormat="1" ht="13.5">
      <x:c r="A172" s="58"/>
      <x:c r="B172" s="70"/>
      <x:c r="C172" s="240" t="s">
        <x:v>332</x:v>
      </x:c>
      <x:c r="D172" s="240"/>
      <x:c r="E172" s="240"/>
      <x:c r="F172" s="240" t="s">
        <x:v>351</x:v>
      </x:c>
      <x:c r="G172" s="241" t="s">
        <x:v>352</x:v>
      </x:c>
      <x:c r="H172" s="240">
        <x:v>1</x:v>
      </x:c>
      <x:c r="I172" s="240" t="s">
        <x:v>1089</x:v>
      </x:c>
      <x:c r="J172" s="284">
        <x:f t="shared" ref="J172:T172" si="22">+$I$157*J95</x:f>
        <x:v>944.33591805418712</x:v>
      </x:c>
      <x:c r="K172" s="285">
        <x:f t="shared" si="22"/>
        <x:v>944.33591805418712</x:v>
      </x:c>
      <x:c r="L172" s="285">
        <x:f t="shared" si="22"/>
        <x:v>944.33591805418712</x:v>
      </x:c>
      <x:c r="M172" s="285">
        <x:f t="shared" si="22"/>
        <x:v>944.33591805418712</x:v>
      </x:c>
      <x:c r="N172" s="285">
        <x:f t="shared" si="22"/>
        <x:v>944.33591805418712</x:v>
      </x:c>
      <x:c r="O172" s="285">
        <x:f t="shared" si="22"/>
        <x:v>944.33591805418712</x:v>
      </x:c>
      <x:c r="P172" s="285">
        <x:f t="shared" si="22"/>
        <x:v>944.33591805418712</x:v>
      </x:c>
      <x:c r="Q172" s="285">
        <x:f t="shared" si="22"/>
        <x:v>944.33591805418712</x:v>
      </x:c>
      <x:c r="R172" s="285">
        <x:f t="shared" si="22"/>
        <x:v>944.33591805418712</x:v>
      </x:c>
      <x:c r="S172" s="285">
        <x:f t="shared" si="22"/>
        <x:v>944.33591805418712</x:v>
      </x:c>
      <x:c r="T172" s="285">
        <x:f t="shared" si="22"/>
        <x:v>944.33591805418712</x:v>
      </x:c>
      <x:c r="U172" s="285">
        <x:f t="shared" si="10"/>
        <x:v>944.33591805418712</x:v>
      </x:c>
      <x:c r="V172" s="113"/>
      <x:c r="W172" s="1046"/>
    </x:row>
    <x:row r="173" spans="1:23" s="48" customFormat="1" ht="13.5">
      <x:c r="A173" s="58"/>
      <x:c r="B173" s="70"/>
      <x:c r="C173" s="240" t="s">
        <x:v>332</x:v>
      </x:c>
      <x:c r="D173" s="240"/>
      <x:c r="E173" s="240"/>
      <x:c r="F173" s="240" t="s">
        <x:v>353</x:v>
      </x:c>
      <x:c r="G173" s="241" t="s">
        <x:v>1094</x:v>
      </x:c>
      <x:c r="H173" s="240">
        <x:v>3</x:v>
      </x:c>
      <x:c r="I173" s="240" t="s">
        <x:v>1089</x:v>
      </x:c>
      <x:c r="J173" s="284">
        <x:f t="shared" ref="J173:T173" si="23">+$I$157*J96</x:f>
        <x:v>818.90772580694124</x:v>
      </x:c>
      <x:c r="K173" s="285">
        <x:f t="shared" si="23"/>
        <x:v>818.90772580694124</x:v>
      </x:c>
      <x:c r="L173" s="285">
        <x:f t="shared" si="23"/>
        <x:v>818.90772580694124</x:v>
      </x:c>
      <x:c r="M173" s="285">
        <x:f t="shared" si="23"/>
        <x:v>818.90772580694124</x:v>
      </x:c>
      <x:c r="N173" s="285">
        <x:f t="shared" si="23"/>
        <x:v>818.90772580694124</x:v>
      </x:c>
      <x:c r="O173" s="285">
        <x:f t="shared" si="23"/>
        <x:v>818.90772580694124</x:v>
      </x:c>
      <x:c r="P173" s="285">
        <x:f t="shared" si="23"/>
        <x:v>818.90772580694124</x:v>
      </x:c>
      <x:c r="Q173" s="285">
        <x:f t="shared" si="23"/>
        <x:v>818.90772580694124</x:v>
      </x:c>
      <x:c r="R173" s="285">
        <x:f t="shared" si="23"/>
        <x:v>818.90772580694124</x:v>
      </x:c>
      <x:c r="S173" s="285">
        <x:f t="shared" si="23"/>
        <x:v>818.90772580694124</x:v>
      </x:c>
      <x:c r="T173" s="285">
        <x:f t="shared" si="23"/>
        <x:v>818.90772580694124</x:v>
      </x:c>
      <x:c r="U173" s="285">
        <x:f t="shared" si="10"/>
        <x:v>818.90772580694124</x:v>
      </x:c>
      <x:c r="V173" s="113"/>
      <x:c r="W173" s="1046"/>
    </x:row>
    <x:row r="174" spans="1:23" s="48" customFormat="1" ht="13.5">
      <x:c r="A174" s="58"/>
      <x:c r="B174" s="70"/>
      <x:c r="C174" s="240" t="s">
        <x:v>332</x:v>
      </x:c>
      <x:c r="D174" s="240"/>
      <x:c r="E174" s="240"/>
      <x:c r="F174" s="240" t="s">
        <x:v>354</x:v>
      </x:c>
      <x:c r="G174" s="241" t="s">
        <x:v>1095</x:v>
      </x:c>
      <x:c r="H174" s="240">
        <x:v>1</x:v>
      </x:c>
      <x:c r="I174" s="240" t="s">
        <x:v>1089</x:v>
      </x:c>
      <x:c r="J174" s="284">
        <x:f t="shared" ref="J174:T174" si="24">+$I$157*J97</x:f>
        <x:v>1114.4040403355405</x:v>
      </x:c>
      <x:c r="K174" s="285">
        <x:f t="shared" si="24"/>
        <x:v>1114.4040403355405</x:v>
      </x:c>
      <x:c r="L174" s="285">
        <x:f t="shared" si="24"/>
        <x:v>1114.4040403355405</x:v>
      </x:c>
      <x:c r="M174" s="285">
        <x:f t="shared" si="24"/>
        <x:v>1114.4040403355405</x:v>
      </x:c>
      <x:c r="N174" s="285">
        <x:f t="shared" si="24"/>
        <x:v>1114.4040403355405</x:v>
      </x:c>
      <x:c r="O174" s="285">
        <x:f t="shared" si="24"/>
        <x:v>1114.4040403355405</x:v>
      </x:c>
      <x:c r="P174" s="285">
        <x:f t="shared" si="24"/>
        <x:v>1114.4040403355405</x:v>
      </x:c>
      <x:c r="Q174" s="285">
        <x:f t="shared" si="24"/>
        <x:v>1114.4040403355405</x:v>
      </x:c>
      <x:c r="R174" s="285">
        <x:f t="shared" si="24"/>
        <x:v>1114.4040403355405</x:v>
      </x:c>
      <x:c r="S174" s="285">
        <x:f t="shared" si="24"/>
        <x:v>1114.4040403355405</x:v>
      </x:c>
      <x:c r="T174" s="285">
        <x:f t="shared" si="24"/>
        <x:v>1114.4040403355405</x:v>
      </x:c>
      <x:c r="U174" s="285">
        <x:f t="shared" si="10"/>
        <x:v>1114.4040403355405</x:v>
      </x:c>
      <x:c r="V174" s="114"/>
      <x:c r="W174" s="1046"/>
    </x:row>
    <x:row r="175" spans="1:23" s="48" customFormat="1" ht="13.5">
      <x:c r="A175" s="58"/>
      <x:c r="B175" s="70"/>
      <x:c r="C175" s="240" t="s">
        <x:v>332</x:v>
      </x:c>
      <x:c r="D175" s="240"/>
      <x:c r="E175" s="240"/>
      <x:c r="F175" s="240" t="s">
        <x:v>355</x:v>
      </x:c>
      <x:c r="G175" s="241" t="s">
        <x:v>1096</x:v>
      </x:c>
      <x:c r="H175" s="240">
        <x:v>1</x:v>
      </x:c>
      <x:c r="I175" s="240" t="s">
        <x:v>1089</x:v>
      </x:c>
      <x:c r="J175" s="284">
        <x:f t="shared" ref="J175:T175" si="25">+$I$157*J98</x:f>
        <x:v>755.68873095942286</x:v>
      </x:c>
      <x:c r="K175" s="285">
        <x:f t="shared" si="25"/>
        <x:v>755.68873095942286</x:v>
      </x:c>
      <x:c r="L175" s="285">
        <x:f t="shared" si="25"/>
        <x:v>755.68873095942286</x:v>
      </x:c>
      <x:c r="M175" s="285">
        <x:f t="shared" si="25"/>
        <x:v>755.68873095942286</x:v>
      </x:c>
      <x:c r="N175" s="285">
        <x:f t="shared" si="25"/>
        <x:v>755.68873095942286</x:v>
      </x:c>
      <x:c r="O175" s="285">
        <x:f t="shared" si="25"/>
        <x:v>755.68873095942286</x:v>
      </x:c>
      <x:c r="P175" s="285">
        <x:f t="shared" si="25"/>
        <x:v>755.68873095942286</x:v>
      </x:c>
      <x:c r="Q175" s="285">
        <x:f t="shared" si="25"/>
        <x:v>755.68873095942286</x:v>
      </x:c>
      <x:c r="R175" s="285">
        <x:f t="shared" si="25"/>
        <x:v>755.68873095942286</x:v>
      </x:c>
      <x:c r="S175" s="285">
        <x:f t="shared" si="25"/>
        <x:v>755.68873095942286</x:v>
      </x:c>
      <x:c r="T175" s="285">
        <x:f t="shared" si="25"/>
        <x:v>755.68873095942286</x:v>
      </x:c>
      <x:c r="U175" s="285">
        <x:f t="shared" si="10"/>
        <x:v>755.68873095942286</x:v>
      </x:c>
      <x:c r="V175" s="114"/>
      <x:c r="W175" s="1046"/>
    </x:row>
    <x:row r="176" spans="1:23" s="48" customFormat="1" ht="13.5">
      <x:c r="A176" s="58"/>
      <x:c r="B176" s="70"/>
      <x:c r="C176" s="240" t="s">
        <x:v>332</x:v>
      </x:c>
      <x:c r="D176" s="240"/>
      <x:c r="E176" s="240"/>
      <x:c r="F176" s="240" t="s">
        <x:v>356</x:v>
      </x:c>
      <x:c r="G176" s="241" t="s">
        <x:v>1097</x:v>
      </x:c>
      <x:c r="H176" s="240">
        <x:v>1</x:v>
      </x:c>
      <x:c r="I176" s="240" t="s">
        <x:v>1089</x:v>
      </x:c>
      <x:c r="J176" s="284">
        <x:f t="shared" ref="J176:T176" si="26">+$I$157*J99</x:f>
        <x:v>935.5375684496596</x:v>
      </x:c>
      <x:c r="K176" s="285">
        <x:f t="shared" si="26"/>
        <x:v>935.5375684496596</x:v>
      </x:c>
      <x:c r="L176" s="285">
        <x:f t="shared" si="26"/>
        <x:v>935.5375684496596</x:v>
      </x:c>
      <x:c r="M176" s="285">
        <x:f t="shared" si="26"/>
        <x:v>935.5375684496596</x:v>
      </x:c>
      <x:c r="N176" s="285">
        <x:f t="shared" si="26"/>
        <x:v>935.5375684496596</x:v>
      </x:c>
      <x:c r="O176" s="285">
        <x:f t="shared" si="26"/>
        <x:v>935.5375684496596</x:v>
      </x:c>
      <x:c r="P176" s="285">
        <x:f t="shared" si="26"/>
        <x:v>935.5375684496596</x:v>
      </x:c>
      <x:c r="Q176" s="285">
        <x:f t="shared" si="26"/>
        <x:v>935.5375684496596</x:v>
      </x:c>
      <x:c r="R176" s="285">
        <x:f t="shared" si="26"/>
        <x:v>935.5375684496596</x:v>
      </x:c>
      <x:c r="S176" s="285">
        <x:f t="shared" si="26"/>
        <x:v>935.5375684496596</x:v>
      </x:c>
      <x:c r="T176" s="285">
        <x:f t="shared" si="26"/>
        <x:v>935.5375684496596</x:v>
      </x:c>
      <x:c r="U176" s="285">
        <x:f t="shared" si="10"/>
        <x:v>935.5375684496596</x:v>
      </x:c>
      <x:c r="V176" s="114"/>
      <x:c r="W176" s="1046"/>
    </x:row>
    <x:row r="177" spans="1:23" s="48" customFormat="1" ht="13.5">
      <x:c r="A177" s="58"/>
      <x:c r="B177" s="70"/>
      <x:c r="C177" s="240" t="s">
        <x:v>332</x:v>
      </x:c>
      <x:c r="D177" s="235"/>
      <x:c r="E177" s="235"/>
      <x:c r="F177" s="235" t="s">
        <x:v>357</x:v>
      </x:c>
      <x:c r="G177" s="236" t="s">
        <x:v>1098</x:v>
      </x:c>
      <x:c r="H177" s="235">
        <x:v>1</x:v>
      </x:c>
      <x:c r="I177" s="235" t="s">
        <x:v>1089</x:v>
      </x:c>
      <x:c r="J177" s="284">
        <x:f t="shared" ref="J177:T177" si="27">+$I$157*J100</x:f>
        <x:v>496.78809126328798</x:v>
      </x:c>
      <x:c r="K177" s="285">
        <x:f t="shared" si="27"/>
        <x:v>496.78809126328798</x:v>
      </x:c>
      <x:c r="L177" s="285">
        <x:f t="shared" si="27"/>
        <x:v>496.78809126328798</x:v>
      </x:c>
      <x:c r="M177" s="285">
        <x:f t="shared" si="27"/>
        <x:v>496.78809126328798</x:v>
      </x:c>
      <x:c r="N177" s="285">
        <x:f t="shared" si="27"/>
        <x:v>496.78809126328798</x:v>
      </x:c>
      <x:c r="O177" s="285">
        <x:f t="shared" si="27"/>
        <x:v>496.78809126328798</x:v>
      </x:c>
      <x:c r="P177" s="285">
        <x:f t="shared" si="27"/>
        <x:v>496.78809126328798</x:v>
      </x:c>
      <x:c r="Q177" s="285">
        <x:f t="shared" si="27"/>
        <x:v>496.78809126328798</x:v>
      </x:c>
      <x:c r="R177" s="285">
        <x:f t="shared" si="27"/>
        <x:v>496.78809126328798</x:v>
      </x:c>
      <x:c r="S177" s="285">
        <x:f t="shared" si="27"/>
        <x:v>496.78809126328798</x:v>
      </x:c>
      <x:c r="T177" s="285">
        <x:f t="shared" si="27"/>
        <x:v>496.78809126328798</x:v>
      </x:c>
      <x:c r="U177" s="285">
        <x:f t="shared" si="10"/>
        <x:v>496.78809126328798</x:v>
      </x:c>
      <x:c r="V177" s="114"/>
      <x:c r="W177" s="1046"/>
    </x:row>
    <x:row r="178" spans="1:23" s="48" customFormat="1" ht="13.5">
      <x:c r="A178" s="58"/>
      <x:c r="B178" s="70"/>
      <x:c r="C178" s="240" t="s">
        <x:v>332</x:v>
      </x:c>
      <x:c r="D178" s="61"/>
      <x:c r="E178" s="71"/>
      <x:c r="F178" s="72" t="s">
        <x:v>358</x:v>
      </x:c>
      <x:c r="G178" s="62" t="s">
        <x:v>359</x:v>
      </x:c>
      <x:c r="H178" s="73">
        <x:v>1</x:v>
      </x:c>
      <x:c r="I178" s="240" t="s">
        <x:v>1089</x:v>
      </x:c>
      <x:c r="J178" s="284">
        <x:f t="shared" ref="J178:T178" si="28">+$I$157*J101</x:f>
        <x:v>1032.732725484932</x:v>
      </x:c>
      <x:c r="K178" s="285">
        <x:f t="shared" si="28"/>
        <x:v>1032.732725484932</x:v>
      </x:c>
      <x:c r="L178" s="285">
        <x:f t="shared" si="28"/>
        <x:v>1032.732725484932</x:v>
      </x:c>
      <x:c r="M178" s="285">
        <x:f t="shared" si="28"/>
        <x:v>1032.732725484932</x:v>
      </x:c>
      <x:c r="N178" s="285">
        <x:f t="shared" si="28"/>
        <x:v>1032.732725484932</x:v>
      </x:c>
      <x:c r="O178" s="285">
        <x:f t="shared" si="28"/>
        <x:v>1032.732725484932</x:v>
      </x:c>
      <x:c r="P178" s="285">
        <x:f t="shared" si="28"/>
        <x:v>1032.732725484932</x:v>
      </x:c>
      <x:c r="Q178" s="285">
        <x:f t="shared" si="28"/>
        <x:v>1032.732725484932</x:v>
      </x:c>
      <x:c r="R178" s="285">
        <x:f t="shared" si="28"/>
        <x:v>1032.732725484932</x:v>
      </x:c>
      <x:c r="S178" s="285">
        <x:f t="shared" si="28"/>
        <x:v>1032.732725484932</x:v>
      </x:c>
      <x:c r="T178" s="285">
        <x:f t="shared" si="28"/>
        <x:v>1032.732725484932</x:v>
      </x:c>
      <x:c r="U178" s="285">
        <x:f t="shared" si="10"/>
        <x:v>1032.732725484932</x:v>
      </x:c>
      <x:c r="V178" s="117"/>
      <x:c r="W178" s="1046"/>
    </x:row>
    <x:row r="179" spans="1:23" s="48" customFormat="1" ht="13.5">
      <x:c r="A179" s="58"/>
      <x:c r="B179" s="70"/>
      <x:c r="C179" s="240" t="s">
        <x:v>332</x:v>
      </x:c>
      <x:c r="D179" s="240"/>
      <x:c r="E179" s="244"/>
      <x:c r="F179" s="245" t="s">
        <x:v>360</x:v>
      </x:c>
      <x:c r="G179" s="241" t="s">
        <x:v>1099</x:v>
      </x:c>
      <x:c r="H179" s="246">
        <x:v>1</x:v>
      </x:c>
      <x:c r="I179" s="240" t="s">
        <x:v>1089</x:v>
      </x:c>
      <x:c r="J179" s="284">
        <x:f t="shared" ref="J179:T179" si="29">+$I$157*J102</x:f>
        <x:v>805.73232751966918</x:v>
      </x:c>
      <x:c r="K179" s="285">
        <x:f t="shared" si="29"/>
        <x:v>805.73232751966918</x:v>
      </x:c>
      <x:c r="L179" s="285">
        <x:f t="shared" si="29"/>
        <x:v>805.73232751966918</x:v>
      </x:c>
      <x:c r="M179" s="285">
        <x:f t="shared" si="29"/>
        <x:v>805.73232751966918</x:v>
      </x:c>
      <x:c r="N179" s="285">
        <x:f t="shared" si="29"/>
        <x:v>805.73232751966918</x:v>
      </x:c>
      <x:c r="O179" s="285">
        <x:f t="shared" si="29"/>
        <x:v>805.73232751966918</x:v>
      </x:c>
      <x:c r="P179" s="285">
        <x:f t="shared" si="29"/>
        <x:v>805.73232751966918</x:v>
      </x:c>
      <x:c r="Q179" s="285">
        <x:f t="shared" si="29"/>
        <x:v>805.73232751966918</x:v>
      </x:c>
      <x:c r="R179" s="285">
        <x:f t="shared" si="29"/>
        <x:v>805.73232751966918</x:v>
      </x:c>
      <x:c r="S179" s="285">
        <x:f t="shared" si="29"/>
        <x:v>805.73232751966918</x:v>
      </x:c>
      <x:c r="T179" s="285">
        <x:f t="shared" si="29"/>
        <x:v>805.73232751966918</x:v>
      </x:c>
      <x:c r="U179" s="285">
        <x:f t="shared" si="10"/>
        <x:v>805.73232751966918</x:v>
      </x:c>
      <x:c r="V179" s="113"/>
      <x:c r="W179" s="1046"/>
    </x:row>
    <x:row r="180" spans="1:23" s="48" customFormat="1" ht="13.5">
      <x:c r="A180" s="58"/>
      <x:c r="B180" s="70"/>
      <x:c r="C180" s="240" t="s">
        <x:v>332</x:v>
      </x:c>
      <x:c r="D180" s="240"/>
      <x:c r="E180" s="240"/>
      <x:c r="F180" s="240" t="s">
        <x:v>361</x:v>
      </x:c>
      <x:c r="G180" s="241" t="s">
        <x:v>1100</x:v>
      </x:c>
      <x:c r="H180" s="240">
        <x:v>1</x:v>
      </x:c>
      <x:c r="I180" s="240" t="s">
        <x:v>1089</x:v>
      </x:c>
      <x:c r="J180" s="284">
        <x:f t="shared" ref="J180:T180" si="30">+$I$157*J103</x:f>
        <x:v>1079.5564986818267</x:v>
      </x:c>
      <x:c r="K180" s="285">
        <x:f t="shared" si="30"/>
        <x:v>1079.5564986818267</x:v>
      </x:c>
      <x:c r="L180" s="285">
        <x:f t="shared" si="30"/>
        <x:v>1079.5564986818267</x:v>
      </x:c>
      <x:c r="M180" s="285">
        <x:f t="shared" si="30"/>
        <x:v>1079.5564986818267</x:v>
      </x:c>
      <x:c r="N180" s="285">
        <x:f t="shared" si="30"/>
        <x:v>1079.5564986818267</x:v>
      </x:c>
      <x:c r="O180" s="285">
        <x:f t="shared" si="30"/>
        <x:v>1079.5564986818267</x:v>
      </x:c>
      <x:c r="P180" s="285">
        <x:f t="shared" si="30"/>
        <x:v>1079.5564986818267</x:v>
      </x:c>
      <x:c r="Q180" s="285">
        <x:f t="shared" si="30"/>
        <x:v>1079.5564986818267</x:v>
      </x:c>
      <x:c r="R180" s="285">
        <x:f t="shared" si="30"/>
        <x:v>1079.5564986818267</x:v>
      </x:c>
      <x:c r="S180" s="285">
        <x:f t="shared" si="30"/>
        <x:v>1079.5564986818267</x:v>
      </x:c>
      <x:c r="T180" s="285">
        <x:f t="shared" si="30"/>
        <x:v>1079.5564986818267</x:v>
      </x:c>
      <x:c r="U180" s="285">
        <x:f t="shared" si="10"/>
        <x:v>1079.5564986818267</x:v>
      </x:c>
      <x:c r="V180" s="113"/>
      <x:c r="W180" s="1046"/>
    </x:row>
    <x:row r="181" spans="1:23" s="48" customFormat="1" ht="13.5">
      <x:c r="A181" s="58"/>
      <x:c r="B181" s="70"/>
      <x:c r="C181" s="240" t="s">
        <x:v>332</x:v>
      </x:c>
      <x:c r="D181" s="240"/>
      <x:c r="E181" s="240"/>
      <x:c r="F181" s="240" t="s">
        <x:v>362</x:v>
      </x:c>
      <x:c r="G181" s="241" t="s">
        <x:v>1101</x:v>
      </x:c>
      <x:c r="H181" s="240">
        <x:v>1</x:v>
      </x:c>
      <x:c r="I181" s="240" t="s">
        <x:v>1089</x:v>
      </x:c>
      <x:c r="J181" s="284">
        <x:f t="shared" ref="J181:T181" si="31">+$I$157*J104</x:f>
        <x:v>1119.401773906023</x:v>
      </x:c>
      <x:c r="K181" s="285">
        <x:f t="shared" si="31"/>
        <x:v>1119.401773906023</x:v>
      </x:c>
      <x:c r="L181" s="285">
        <x:f t="shared" si="31"/>
        <x:v>1119.401773906023</x:v>
      </x:c>
      <x:c r="M181" s="285">
        <x:f t="shared" si="31"/>
        <x:v>1119.401773906023</x:v>
      </x:c>
      <x:c r="N181" s="285">
        <x:f t="shared" si="31"/>
        <x:v>1119.401773906023</x:v>
      </x:c>
      <x:c r="O181" s="285">
        <x:f t="shared" si="31"/>
        <x:v>1119.401773906023</x:v>
      </x:c>
      <x:c r="P181" s="285">
        <x:f t="shared" si="31"/>
        <x:v>1119.401773906023</x:v>
      </x:c>
      <x:c r="Q181" s="285">
        <x:f t="shared" si="31"/>
        <x:v>1119.401773906023</x:v>
      </x:c>
      <x:c r="R181" s="285">
        <x:f t="shared" si="31"/>
        <x:v>1119.401773906023</x:v>
      </x:c>
      <x:c r="S181" s="285">
        <x:f t="shared" si="31"/>
        <x:v>1119.401773906023</x:v>
      </x:c>
      <x:c r="T181" s="285">
        <x:f t="shared" si="31"/>
        <x:v>1119.401773906023</x:v>
      </x:c>
      <x:c r="U181" s="285">
        <x:f t="shared" si="10"/>
        <x:v>1119.401773906023</x:v>
      </x:c>
      <x:c r="V181" s="114"/>
      <x:c r="W181" s="1046"/>
    </x:row>
    <x:row r="182" spans="1:23" s="48" customFormat="1" ht="13.5">
      <x:c r="A182" s="58"/>
      <x:c r="B182" s="75"/>
      <x:c r="C182" s="240" t="s">
        <x:v>332</x:v>
      </x:c>
      <x:c r="D182" s="240"/>
      <x:c r="E182" s="240"/>
      <x:c r="F182" s="240" t="s">
        <x:v>351</x:v>
      </x:c>
      <x:c r="G182" s="241" t="s">
        <x:v>352</x:v>
      </x:c>
      <x:c r="H182" s="240">
        <x:v>1</x:v>
      </x:c>
      <x:c r="I182" s="240" t="s">
        <x:v>1089</x:v>
      </x:c>
      <x:c r="J182" s="284">
        <x:f t="shared" ref="J182:T182" si="32">+$I$157*J105</x:f>
        <x:v>655.55055933118524</x:v>
      </x:c>
      <x:c r="K182" s="285">
        <x:f t="shared" si="32"/>
        <x:v>655.55055933118524</x:v>
      </x:c>
      <x:c r="L182" s="285">
        <x:f t="shared" si="32"/>
        <x:v>655.55055933118524</x:v>
      </x:c>
      <x:c r="M182" s="285">
        <x:f t="shared" si="32"/>
        <x:v>655.55055933118524</x:v>
      </x:c>
      <x:c r="N182" s="285">
        <x:f t="shared" si="32"/>
        <x:v>655.55055933118524</x:v>
      </x:c>
      <x:c r="O182" s="285">
        <x:f t="shared" si="32"/>
        <x:v>655.55055933118524</x:v>
      </x:c>
      <x:c r="P182" s="285">
        <x:f t="shared" si="32"/>
        <x:v>655.55055933118524</x:v>
      </x:c>
      <x:c r="Q182" s="285">
        <x:f t="shared" si="32"/>
        <x:v>655.55055933118524</x:v>
      </x:c>
      <x:c r="R182" s="285">
        <x:f t="shared" si="32"/>
        <x:v>655.55055933118524</x:v>
      </x:c>
      <x:c r="S182" s="285">
        <x:f t="shared" si="32"/>
        <x:v>655.55055933118524</x:v>
      </x:c>
      <x:c r="T182" s="285">
        <x:f t="shared" si="32"/>
        <x:v>655.55055933118524</x:v>
      </x:c>
      <x:c r="U182" s="285">
        <x:f t="shared" si="10"/>
        <x:v>655.55055933118524</x:v>
      </x:c>
      <x:c r="V182" s="114"/>
      <x:c r="W182" s="1046"/>
    </x:row>
    <x:row r="183" spans="1:23" s="48" customFormat="1" ht="13.5">
      <x:c r="A183" s="58"/>
      <x:c r="B183" s="66" t="s">
        <x:v>1102</x:v>
      </x:c>
      <x:c r="C183" s="235" t="s">
        <x:v>332</x:v>
      </x:c>
      <x:c r="D183" s="235"/>
      <x:c r="E183" s="235"/>
      <x:c r="F183" s="235" t="s">
        <x:v>364</x:v>
      </x:c>
      <x:c r="G183" s="236" t="s">
        <x:v>1045</x:v>
      </x:c>
      <x:c r="H183" s="235">
        <x:v>1</x:v>
      </x:c>
      <x:c r="I183" s="235" t="s">
        <x:v>1089</x:v>
      </x:c>
      <x:c r="J183" s="287">
        <x:f t="shared" ref="J183:T183" si="33">+$I$157*J106</x:f>
        <x:v>7890.7722249862763</x:v>
      </x:c>
      <x:c r="K183" s="282">
        <x:f t="shared" si="33"/>
        <x:v>7890.7722249862763</x:v>
      </x:c>
      <x:c r="L183" s="282">
        <x:f t="shared" si="33"/>
        <x:v>7890.7722249862763</x:v>
      </x:c>
      <x:c r="M183" s="282">
        <x:f t="shared" si="33"/>
        <x:v>7890.7722249862763</x:v>
      </x:c>
      <x:c r="N183" s="282">
        <x:f t="shared" si="33"/>
        <x:v>7890.7722249862763</x:v>
      </x:c>
      <x:c r="O183" s="282">
        <x:f t="shared" si="33"/>
        <x:v>7890.7722249862763</x:v>
      </x:c>
      <x:c r="P183" s="282">
        <x:f t="shared" si="33"/>
        <x:v>7890.7722249862763</x:v>
      </x:c>
      <x:c r="Q183" s="282">
        <x:f t="shared" si="33"/>
        <x:v>7890.7722249862763</x:v>
      </x:c>
      <x:c r="R183" s="282">
        <x:f t="shared" si="33"/>
        <x:v>7890.7722249862763</x:v>
      </x:c>
      <x:c r="S183" s="282">
        <x:f t="shared" si="33"/>
        <x:v>7890.7722249862763</x:v>
      </x:c>
      <x:c r="T183" s="282">
        <x:f t="shared" si="33"/>
        <x:v>7890.7722249862763</x:v>
      </x:c>
      <x:c r="U183" s="282">
        <x:f t="shared" si="10"/>
        <x:v>7890.7722249862763</x:v>
      </x:c>
      <x:c r="V183" s="111"/>
      <x:c r="W183" s="1046" t="s">
        <x:v>365</x:v>
      </x:c>
    </x:row>
    <x:row r="184" spans="1:23" s="48" customFormat="1" ht="13.5">
      <x:c r="A184" s="58"/>
      <x:c r="B184" s="70"/>
      <x:c r="C184" s="235" t="s">
        <x:v>332</x:v>
      </x:c>
      <x:c r="D184" s="235"/>
      <x:c r="E184" s="235"/>
      <x:c r="F184" s="235" t="s">
        <x:v>366</x:v>
      </x:c>
      <x:c r="G184" s="236" t="s">
        <x:v>1035</x:v>
      </x:c>
      <x:c r="H184" s="235">
        <x:v>1</x:v>
      </x:c>
      <x:c r="I184" s="235" t="s">
        <x:v>1089</x:v>
      </x:c>
      <x:c r="J184" s="287">
        <x:f t="shared" ref="J184:T184" si="34">+$I$157*J107</x:f>
        <x:v>1327.53</x:v>
      </x:c>
      <x:c r="K184" s="282">
        <x:f t="shared" si="34"/>
        <x:v>1327.53</x:v>
      </x:c>
      <x:c r="L184" s="282">
        <x:f t="shared" si="34"/>
        <x:v>1327.53</x:v>
      </x:c>
      <x:c r="M184" s="282">
        <x:f t="shared" si="34"/>
        <x:v>1327.53</x:v>
      </x:c>
      <x:c r="N184" s="282">
        <x:f t="shared" si="34"/>
        <x:v>1327.53</x:v>
      </x:c>
      <x:c r="O184" s="282">
        <x:f t="shared" si="34"/>
        <x:v>1327.53</x:v>
      </x:c>
      <x:c r="P184" s="282">
        <x:f t="shared" si="34"/>
        <x:v>1327.53</x:v>
      </x:c>
      <x:c r="Q184" s="282">
        <x:f t="shared" si="34"/>
        <x:v>1327.53</x:v>
      </x:c>
      <x:c r="R184" s="282">
        <x:f t="shared" si="34"/>
        <x:v>1327.53</x:v>
      </x:c>
      <x:c r="S184" s="282">
        <x:f t="shared" si="34"/>
        <x:v>1327.53</x:v>
      </x:c>
      <x:c r="T184" s="282">
        <x:f t="shared" si="34"/>
        <x:v>1327.53</x:v>
      </x:c>
      <x:c r="U184" s="282">
        <x:f t="shared" si="10"/>
        <x:v>1327.53</x:v>
      </x:c>
      <x:c r="V184" s="111"/>
      <x:c r="W184" s="1046"/>
    </x:row>
    <x:row r="185" spans="1:23" s="48" customFormat="1" ht="13.5">
      <x:c r="A185" s="58"/>
      <x:c r="B185" s="70"/>
      <x:c r="C185" s="240" t="s">
        <x:v>332</x:v>
      </x:c>
      <x:c r="D185" s="240"/>
      <x:c r="E185" s="240"/>
      <x:c r="F185" s="240" t="s">
        <x:v>351</x:v>
      </x:c>
      <x:c r="G185" s="241" t="s">
        <x:v>1036</x:v>
      </x:c>
      <x:c r="H185" s="240">
        <x:v>1</x:v>
      </x:c>
      <x:c r="I185" s="240" t="s">
        <x:v>1089</x:v>
      </x:c>
      <x:c r="J185" s="284">
        <x:f t="shared" ref="J185:T185" si="35">+$I$157*J108</x:f>
        <x:v>944.33591805418712</x:v>
      </x:c>
      <x:c r="K185" s="285">
        <x:f t="shared" si="35"/>
        <x:v>944.33591805418712</x:v>
      </x:c>
      <x:c r="L185" s="285">
        <x:f t="shared" si="35"/>
        <x:v>944.33591805418712</x:v>
      </x:c>
      <x:c r="M185" s="285">
        <x:f t="shared" si="35"/>
        <x:v>944.33591805418712</x:v>
      </x:c>
      <x:c r="N185" s="285">
        <x:f t="shared" si="35"/>
        <x:v>944.33591805418712</x:v>
      </x:c>
      <x:c r="O185" s="285">
        <x:f t="shared" si="35"/>
        <x:v>944.33591805418712</x:v>
      </x:c>
      <x:c r="P185" s="285">
        <x:f t="shared" si="35"/>
        <x:v>944.33591805418712</x:v>
      </x:c>
      <x:c r="Q185" s="285">
        <x:f t="shared" si="35"/>
        <x:v>944.33591805418712</x:v>
      </x:c>
      <x:c r="R185" s="285">
        <x:f t="shared" si="35"/>
        <x:v>944.33591805418712</x:v>
      </x:c>
      <x:c r="S185" s="285">
        <x:f t="shared" si="35"/>
        <x:v>944.33591805418712</x:v>
      </x:c>
      <x:c r="T185" s="285">
        <x:f t="shared" si="35"/>
        <x:v>944.33591805418712</x:v>
      </x:c>
      <x:c r="U185" s="285">
        <x:f t="shared" si="10"/>
        <x:v>944.33591805418712</x:v>
      </x:c>
      <x:c r="V185" s="113"/>
      <x:c r="W185" s="1046"/>
    </x:row>
    <x:row r="186" spans="1:23" s="48" customFormat="1" ht="13.5">
      <x:c r="A186" s="58"/>
      <x:c r="B186" s="70"/>
      <x:c r="C186" s="240" t="s">
        <x:v>332</x:v>
      </x:c>
      <x:c r="D186" s="240"/>
      <x:c r="E186" s="240"/>
      <x:c r="F186" s="240" t="s">
        <x:v>353</x:v>
      </x:c>
      <x:c r="G186" s="241" t="s">
        <x:v>1037</x:v>
      </x:c>
      <x:c r="H186" s="240">
        <x:v>3</x:v>
      </x:c>
      <x:c r="I186" s="240" t="s">
        <x:v>1089</x:v>
      </x:c>
      <x:c r="J186" s="284">
        <x:f t="shared" ref="J186:T186" si="36">+$I$157*J109</x:f>
        <x:v>818.90772580694124</x:v>
      </x:c>
      <x:c r="K186" s="285">
        <x:f t="shared" si="36"/>
        <x:v>818.90772580694124</x:v>
      </x:c>
      <x:c r="L186" s="285">
        <x:f t="shared" si="36"/>
        <x:v>818.90772580694124</x:v>
      </x:c>
      <x:c r="M186" s="285">
        <x:f t="shared" si="36"/>
        <x:v>818.90772580694124</x:v>
      </x:c>
      <x:c r="N186" s="285">
        <x:f t="shared" si="36"/>
        <x:v>818.90772580694124</x:v>
      </x:c>
      <x:c r="O186" s="285">
        <x:f t="shared" si="36"/>
        <x:v>818.90772580694124</x:v>
      </x:c>
      <x:c r="P186" s="285">
        <x:f t="shared" si="36"/>
        <x:v>818.90772580694124</x:v>
      </x:c>
      <x:c r="Q186" s="285">
        <x:f t="shared" si="36"/>
        <x:v>818.90772580694124</x:v>
      </x:c>
      <x:c r="R186" s="285">
        <x:f t="shared" si="36"/>
        <x:v>818.90772580694124</x:v>
      </x:c>
      <x:c r="S186" s="285">
        <x:f t="shared" si="36"/>
        <x:v>818.90772580694124</x:v>
      </x:c>
      <x:c r="T186" s="285">
        <x:f t="shared" si="36"/>
        <x:v>818.90772580694124</x:v>
      </x:c>
      <x:c r="U186" s="285">
        <x:f t="shared" si="10"/>
        <x:v>818.90772580694124</x:v>
      </x:c>
      <x:c r="V186" s="113"/>
      <x:c r="W186" s="1046"/>
    </x:row>
    <x:row r="187" spans="1:23" s="48" customFormat="1" ht="13.5">
      <x:c r="A187" s="58"/>
      <x:c r="B187" s="70"/>
      <x:c r="C187" s="240" t="s">
        <x:v>332</x:v>
      </x:c>
      <x:c r="D187" s="240"/>
      <x:c r="E187" s="240"/>
      <x:c r="F187" s="240" t="s">
        <x:v>354</x:v>
      </x:c>
      <x:c r="G187" s="241" t="s">
        <x:v>1038</x:v>
      </x:c>
      <x:c r="H187" s="240">
        <x:v>1</x:v>
      </x:c>
      <x:c r="I187" s="240" t="s">
        <x:v>1089</x:v>
      </x:c>
      <x:c r="J187" s="284">
        <x:f t="shared" ref="J187:T187" si="37">+$I$157*J110</x:f>
        <x:v>1114.4040403355405</x:v>
      </x:c>
      <x:c r="K187" s="285">
        <x:f t="shared" si="37"/>
        <x:v>1114.4040403355405</x:v>
      </x:c>
      <x:c r="L187" s="285">
        <x:f t="shared" si="37"/>
        <x:v>1114.4040403355405</x:v>
      </x:c>
      <x:c r="M187" s="285">
        <x:f t="shared" si="37"/>
        <x:v>1114.4040403355405</x:v>
      </x:c>
      <x:c r="N187" s="285">
        <x:f t="shared" si="37"/>
        <x:v>1114.4040403355405</x:v>
      </x:c>
      <x:c r="O187" s="285">
        <x:f t="shared" si="37"/>
        <x:v>1114.4040403355405</x:v>
      </x:c>
      <x:c r="P187" s="285">
        <x:f t="shared" si="37"/>
        <x:v>1114.4040403355405</x:v>
      </x:c>
      <x:c r="Q187" s="285">
        <x:f t="shared" si="37"/>
        <x:v>1114.4040403355405</x:v>
      </x:c>
      <x:c r="R187" s="285">
        <x:f t="shared" si="37"/>
        <x:v>1114.4040403355405</x:v>
      </x:c>
      <x:c r="S187" s="285">
        <x:f t="shared" si="37"/>
        <x:v>1114.4040403355405</x:v>
      </x:c>
      <x:c r="T187" s="285">
        <x:f t="shared" si="37"/>
        <x:v>1114.4040403355405</x:v>
      </x:c>
      <x:c r="U187" s="285">
        <x:f t="shared" si="10"/>
        <x:v>1114.4040403355405</x:v>
      </x:c>
      <x:c r="V187" s="114"/>
      <x:c r="W187" s="1046"/>
    </x:row>
    <x:row r="188" spans="1:23" s="48" customFormat="1" ht="13.15" customHeight="1">
      <x:c r="A188" s="58"/>
      <x:c r="B188" s="70"/>
      <x:c r="C188" s="240" t="s">
        <x:v>332</x:v>
      </x:c>
      <x:c r="D188" s="240"/>
      <x:c r="E188" s="240"/>
      <x:c r="F188" s="240" t="s">
        <x:v>355</x:v>
      </x:c>
      <x:c r="G188" s="241" t="s">
        <x:v>1039</x:v>
      </x:c>
      <x:c r="H188" s="240">
        <x:v>1</x:v>
      </x:c>
      <x:c r="I188" s="240" t="s">
        <x:v>1089</x:v>
      </x:c>
      <x:c r="J188" s="284">
        <x:f t="shared" ref="J188:T188" si="38">+$I$157*J111</x:f>
        <x:v>755.68873095942286</x:v>
      </x:c>
      <x:c r="K188" s="285">
        <x:f t="shared" si="38"/>
        <x:v>755.68873095942286</x:v>
      </x:c>
      <x:c r="L188" s="285">
        <x:f t="shared" si="38"/>
        <x:v>755.68873095942286</x:v>
      </x:c>
      <x:c r="M188" s="285">
        <x:f t="shared" si="38"/>
        <x:v>755.68873095942286</x:v>
      </x:c>
      <x:c r="N188" s="285">
        <x:f t="shared" si="38"/>
        <x:v>755.68873095942286</x:v>
      </x:c>
      <x:c r="O188" s="285">
        <x:f t="shared" si="38"/>
        <x:v>755.68873095942286</x:v>
      </x:c>
      <x:c r="P188" s="285">
        <x:f t="shared" si="38"/>
        <x:v>755.68873095942286</x:v>
      </x:c>
      <x:c r="Q188" s="285">
        <x:f t="shared" si="38"/>
        <x:v>755.68873095942286</x:v>
      </x:c>
      <x:c r="R188" s="285">
        <x:f t="shared" si="38"/>
        <x:v>755.68873095942286</x:v>
      </x:c>
      <x:c r="S188" s="285">
        <x:f t="shared" si="38"/>
        <x:v>755.68873095942286</x:v>
      </x:c>
      <x:c r="T188" s="285">
        <x:f t="shared" si="38"/>
        <x:v>755.68873095942286</x:v>
      </x:c>
      <x:c r="U188" s="285">
        <x:f t="shared" si="10"/>
        <x:v>755.68873095942286</x:v>
      </x:c>
      <x:c r="V188" s="114"/>
      <x:c r="W188" s="1046"/>
    </x:row>
    <x:row r="189" spans="1:23" s="48" customFormat="1" ht="13.5">
      <x:c r="A189" s="58"/>
      <x:c r="B189" s="70"/>
      <x:c r="C189" s="240" t="s">
        <x:v>332</x:v>
      </x:c>
      <x:c r="D189" s="240"/>
      <x:c r="E189" s="240"/>
      <x:c r="F189" s="240" t="s">
        <x:v>356</x:v>
      </x:c>
      <x:c r="G189" s="241" t="s">
        <x:v>1040</x:v>
      </x:c>
      <x:c r="H189" s="240">
        <x:v>1</x:v>
      </x:c>
      <x:c r="I189" s="240" t="s">
        <x:v>1089</x:v>
      </x:c>
      <x:c r="J189" s="284">
        <x:f t="shared" ref="J189:T189" si="39">+$I$157*J112</x:f>
        <x:v>935.5375684496596</x:v>
      </x:c>
      <x:c r="K189" s="285">
        <x:f t="shared" si="39"/>
        <x:v>935.5375684496596</x:v>
      </x:c>
      <x:c r="L189" s="285">
        <x:f t="shared" si="39"/>
        <x:v>935.5375684496596</x:v>
      </x:c>
      <x:c r="M189" s="285">
        <x:f t="shared" si="39"/>
        <x:v>935.5375684496596</x:v>
      </x:c>
      <x:c r="N189" s="285">
        <x:f t="shared" si="39"/>
        <x:v>935.5375684496596</x:v>
      </x:c>
      <x:c r="O189" s="285">
        <x:f t="shared" si="39"/>
        <x:v>935.5375684496596</x:v>
      </x:c>
      <x:c r="P189" s="285">
        <x:f t="shared" si="39"/>
        <x:v>935.5375684496596</x:v>
      </x:c>
      <x:c r="Q189" s="285">
        <x:f t="shared" si="39"/>
        <x:v>935.5375684496596</x:v>
      </x:c>
      <x:c r="R189" s="285">
        <x:f t="shared" si="39"/>
        <x:v>935.5375684496596</x:v>
      </x:c>
      <x:c r="S189" s="285">
        <x:f t="shared" si="39"/>
        <x:v>935.5375684496596</x:v>
      </x:c>
      <x:c r="T189" s="285">
        <x:f t="shared" si="39"/>
        <x:v>935.5375684496596</x:v>
      </x:c>
      <x:c r="U189" s="285">
        <x:f t="shared" si="10"/>
        <x:v>935.5375684496596</x:v>
      </x:c>
      <x:c r="V189" s="114"/>
      <x:c r="W189" s="1046"/>
    </x:row>
    <x:row r="190" spans="1:23" s="48" customFormat="1" ht="13.5">
      <x:c r="A190" s="58"/>
      <x:c r="B190" s="70"/>
      <x:c r="C190" s="240" t="s">
        <x:v>332</x:v>
      </x:c>
      <x:c r="D190" s="235"/>
      <x:c r="E190" s="235"/>
      <x:c r="F190" s="235" t="s">
        <x:v>357</x:v>
      </x:c>
      <x:c r="G190" s="236" t="s">
        <x:v>1041</x:v>
      </x:c>
      <x:c r="H190" s="235">
        <x:v>1</x:v>
      </x:c>
      <x:c r="I190" s="235" t="s">
        <x:v>1089</x:v>
      </x:c>
      <x:c r="J190" s="284">
        <x:f t="shared" ref="J190:T190" si="40">+$I$157*J113</x:f>
        <x:v>496.78809126328798</x:v>
      </x:c>
      <x:c r="K190" s="285">
        <x:f t="shared" si="40"/>
        <x:v>496.78809126328798</x:v>
      </x:c>
      <x:c r="L190" s="285">
        <x:f t="shared" si="40"/>
        <x:v>496.78809126328798</x:v>
      </x:c>
      <x:c r="M190" s="285">
        <x:f t="shared" si="40"/>
        <x:v>496.78809126328798</x:v>
      </x:c>
      <x:c r="N190" s="285">
        <x:f t="shared" si="40"/>
        <x:v>496.78809126328798</x:v>
      </x:c>
      <x:c r="O190" s="285">
        <x:f t="shared" si="40"/>
        <x:v>496.78809126328798</x:v>
      </x:c>
      <x:c r="P190" s="285">
        <x:f t="shared" si="40"/>
        <x:v>496.78809126328798</x:v>
      </x:c>
      <x:c r="Q190" s="285">
        <x:f t="shared" si="40"/>
        <x:v>496.78809126328798</x:v>
      </x:c>
      <x:c r="R190" s="285">
        <x:f t="shared" si="40"/>
        <x:v>496.78809126328798</x:v>
      </x:c>
      <x:c r="S190" s="285">
        <x:f t="shared" si="40"/>
        <x:v>496.78809126328798</x:v>
      </x:c>
      <x:c r="T190" s="285">
        <x:f t="shared" si="40"/>
        <x:v>496.78809126328798</x:v>
      </x:c>
      <x:c r="U190" s="285">
        <x:f t="shared" si="10"/>
        <x:v>496.78809126328798</x:v>
      </x:c>
      <x:c r="V190" s="114"/>
      <x:c r="W190" s="1046"/>
    </x:row>
    <x:row r="191" spans="1:23" s="48" customFormat="1" ht="13.5">
      <x:c r="A191" s="58"/>
      <x:c r="B191" s="70"/>
      <x:c r="C191" s="240" t="s">
        <x:v>332</x:v>
      </x:c>
      <x:c r="D191" s="61"/>
      <x:c r="E191" s="71"/>
      <x:c r="F191" s="72" t="s">
        <x:v>358</x:v>
      </x:c>
      <x:c r="G191" s="62" t="s">
        <x:v>359</x:v>
      </x:c>
      <x:c r="H191" s="73">
        <x:v>1</x:v>
      </x:c>
      <x:c r="I191" s="240" t="s">
        <x:v>1089</x:v>
      </x:c>
      <x:c r="J191" s="284">
        <x:f t="shared" ref="J191:T191" si="41">+$I$157*J114</x:f>
        <x:v>1032.732725484932</x:v>
      </x:c>
      <x:c r="K191" s="285">
        <x:f t="shared" si="41"/>
        <x:v>1032.732725484932</x:v>
      </x:c>
      <x:c r="L191" s="285">
        <x:f t="shared" si="41"/>
        <x:v>1032.732725484932</x:v>
      </x:c>
      <x:c r="M191" s="285">
        <x:f t="shared" si="41"/>
        <x:v>1032.732725484932</x:v>
      </x:c>
      <x:c r="N191" s="285">
        <x:f t="shared" si="41"/>
        <x:v>1032.732725484932</x:v>
      </x:c>
      <x:c r="O191" s="285">
        <x:f t="shared" si="41"/>
        <x:v>1032.732725484932</x:v>
      </x:c>
      <x:c r="P191" s="285">
        <x:f t="shared" si="41"/>
        <x:v>1032.732725484932</x:v>
      </x:c>
      <x:c r="Q191" s="285">
        <x:f t="shared" si="41"/>
        <x:v>1032.732725484932</x:v>
      </x:c>
      <x:c r="R191" s="285">
        <x:f t="shared" si="41"/>
        <x:v>1032.732725484932</x:v>
      </x:c>
      <x:c r="S191" s="285">
        <x:f t="shared" si="41"/>
        <x:v>1032.732725484932</x:v>
      </x:c>
      <x:c r="T191" s="285">
        <x:f t="shared" si="41"/>
        <x:v>1032.732725484932</x:v>
      </x:c>
      <x:c r="U191" s="285">
        <x:f t="shared" si="10"/>
        <x:v>1032.732725484932</x:v>
      </x:c>
      <x:c r="V191" s="117"/>
      <x:c r="W191" s="1046"/>
    </x:row>
    <x:row r="192" spans="1:23" s="48" customFormat="1" ht="13.5">
      <x:c r="A192" s="58"/>
      <x:c r="B192" s="70"/>
      <x:c r="C192" s="240" t="s">
        <x:v>332</x:v>
      </x:c>
      <x:c r="D192" s="240"/>
      <x:c r="E192" s="244"/>
      <x:c r="F192" s="245" t="s">
        <x:v>360</x:v>
      </x:c>
      <x:c r="G192" s="241" t="s">
        <x:v>1042</x:v>
      </x:c>
      <x:c r="H192" s="246">
        <x:v>1</x:v>
      </x:c>
      <x:c r="I192" s="240" t="s">
        <x:v>1089</x:v>
      </x:c>
      <x:c r="J192" s="284">
        <x:f t="shared" ref="J192:T192" si="42">+$I$157*J115</x:f>
        <x:v>805.73232751966918</x:v>
      </x:c>
      <x:c r="K192" s="285">
        <x:f t="shared" si="42"/>
        <x:v>805.73232751966918</x:v>
      </x:c>
      <x:c r="L192" s="285">
        <x:f t="shared" si="42"/>
        <x:v>805.73232751966918</x:v>
      </x:c>
      <x:c r="M192" s="285">
        <x:f t="shared" si="42"/>
        <x:v>805.73232751966918</x:v>
      </x:c>
      <x:c r="N192" s="285">
        <x:f t="shared" si="42"/>
        <x:v>805.73232751966918</x:v>
      </x:c>
      <x:c r="O192" s="285">
        <x:f t="shared" si="42"/>
        <x:v>805.73232751966918</x:v>
      </x:c>
      <x:c r="P192" s="285">
        <x:f t="shared" si="42"/>
        <x:v>805.73232751966918</x:v>
      </x:c>
      <x:c r="Q192" s="285">
        <x:f t="shared" si="42"/>
        <x:v>805.73232751966918</x:v>
      </x:c>
      <x:c r="R192" s="285">
        <x:f t="shared" si="42"/>
        <x:v>805.73232751966918</x:v>
      </x:c>
      <x:c r="S192" s="285">
        <x:f t="shared" si="42"/>
        <x:v>805.73232751966918</x:v>
      </x:c>
      <x:c r="T192" s="285">
        <x:f t="shared" si="42"/>
        <x:v>805.73232751966918</x:v>
      </x:c>
      <x:c r="U192" s="285">
        <x:f t="shared" si="10"/>
        <x:v>805.73232751966918</x:v>
      </x:c>
      <x:c r="V192" s="113"/>
      <x:c r="W192" s="1046"/>
    </x:row>
    <x:row r="193" spans="1:23" s="48" customFormat="1" ht="13.5">
      <x:c r="A193" s="58"/>
      <x:c r="B193" s="70"/>
      <x:c r="C193" s="240" t="s">
        <x:v>332</x:v>
      </x:c>
      <x:c r="D193" s="240"/>
      <x:c r="E193" s="240"/>
      <x:c r="F193" s="240" t="s">
        <x:v>361</x:v>
      </x:c>
      <x:c r="G193" s="241" t="s">
        <x:v>1043</x:v>
      </x:c>
      <x:c r="H193" s="240">
        <x:v>1</x:v>
      </x:c>
      <x:c r="I193" s="240" t="s">
        <x:v>1089</x:v>
      </x:c>
      <x:c r="J193" s="284">
        <x:f t="shared" ref="J193:T193" si="43">+$I$157*J116</x:f>
        <x:v>1079.5564986818267</x:v>
      </x:c>
      <x:c r="K193" s="285">
        <x:f t="shared" si="43"/>
        <x:v>1079.5564986818267</x:v>
      </x:c>
      <x:c r="L193" s="285">
        <x:f t="shared" si="43"/>
        <x:v>1079.5564986818267</x:v>
      </x:c>
      <x:c r="M193" s="285">
        <x:f t="shared" si="43"/>
        <x:v>1079.5564986818267</x:v>
      </x:c>
      <x:c r="N193" s="285">
        <x:f t="shared" si="43"/>
        <x:v>1079.5564986818267</x:v>
      </x:c>
      <x:c r="O193" s="285">
        <x:f t="shared" si="43"/>
        <x:v>1079.5564986818267</x:v>
      </x:c>
      <x:c r="P193" s="285">
        <x:f t="shared" si="43"/>
        <x:v>1079.5564986818267</x:v>
      </x:c>
      <x:c r="Q193" s="285">
        <x:f t="shared" si="43"/>
        <x:v>1079.5564986818267</x:v>
      </x:c>
      <x:c r="R193" s="285">
        <x:f t="shared" si="43"/>
        <x:v>1079.5564986818267</x:v>
      </x:c>
      <x:c r="S193" s="285">
        <x:f t="shared" si="43"/>
        <x:v>1079.5564986818267</x:v>
      </x:c>
      <x:c r="T193" s="285">
        <x:f t="shared" si="43"/>
        <x:v>1079.5564986818267</x:v>
      </x:c>
      <x:c r="U193" s="285">
        <x:f t="shared" si="10"/>
        <x:v>1079.5564986818267</x:v>
      </x:c>
      <x:c r="V193" s="113"/>
      <x:c r="W193" s="1046"/>
    </x:row>
    <x:row r="194" spans="1:23" s="48" customFormat="1" ht="13.5">
      <x:c r="A194" s="58"/>
      <x:c r="B194" s="70"/>
      <x:c r="C194" s="240" t="s">
        <x:v>332</x:v>
      </x:c>
      <x:c r="D194" s="240"/>
      <x:c r="E194" s="240"/>
      <x:c r="F194" s="240" t="s">
        <x:v>362</x:v>
      </x:c>
      <x:c r="G194" s="241" t="s">
        <x:v>1044</x:v>
      </x:c>
      <x:c r="H194" s="235">
        <x:v>1</x:v>
      </x:c>
      <x:c r="I194" s="240" t="s">
        <x:v>1089</x:v>
      </x:c>
      <x:c r="J194" s="284">
        <x:f t="shared" ref="J194:T194" si="44">+$I$157*J117</x:f>
        <x:v>1119.401773906023</x:v>
      </x:c>
      <x:c r="K194" s="284">
        <x:f t="shared" si="44"/>
        <x:v>1119.401773906023</x:v>
      </x:c>
      <x:c r="L194" s="284">
        <x:f t="shared" si="44"/>
        <x:v>1119.401773906023</x:v>
      </x:c>
      <x:c r="M194" s="284">
        <x:f t="shared" si="44"/>
        <x:v>1119.401773906023</x:v>
      </x:c>
      <x:c r="N194" s="284">
        <x:f t="shared" si="44"/>
        <x:v>1119.401773906023</x:v>
      </x:c>
      <x:c r="O194" s="284">
        <x:f t="shared" si="44"/>
        <x:v>1119.401773906023</x:v>
      </x:c>
      <x:c r="P194" s="284">
        <x:f t="shared" si="44"/>
        <x:v>1119.401773906023</x:v>
      </x:c>
      <x:c r="Q194" s="284">
        <x:f t="shared" si="44"/>
        <x:v>1119.401773906023</x:v>
      </x:c>
      <x:c r="R194" s="284">
        <x:f t="shared" si="44"/>
        <x:v>1119.401773906023</x:v>
      </x:c>
      <x:c r="S194" s="284">
        <x:f t="shared" si="44"/>
        <x:v>1119.401773906023</x:v>
      </x:c>
      <x:c r="T194" s="284">
        <x:f t="shared" si="44"/>
        <x:v>1119.401773906023</x:v>
      </x:c>
      <x:c r="U194" s="284">
        <x:f t="shared" si="10"/>
        <x:v>1119.401773906023</x:v>
      </x:c>
      <x:c r="V194" s="114"/>
      <x:c r="W194" s="1046"/>
    </x:row>
    <x:row r="195" spans="1:23" s="48" customFormat="1" ht="13.5">
      <x:c r="A195" s="76"/>
      <x:c r="B195" s="70"/>
      <x:c r="C195" s="1143" t="s">
        <x:v>332</x:v>
      </x:c>
      <x:c r="D195" s="240"/>
      <x:c r="E195" s="240"/>
      <x:c r="F195" s="240" t="s">
        <x:v>351</x:v>
      </x:c>
      <x:c r="G195" s="241" t="s">
        <x:v>352</x:v>
      </x:c>
      <x:c r="H195" s="240">
        <x:v>1</x:v>
      </x:c>
      <x:c r="I195" s="240" t="s">
        <x:v>1089</x:v>
      </x:c>
      <x:c r="J195" s="284">
        <x:f t="shared" ref="J195:T195" si="45">+$I$157*J118</x:f>
        <x:v>655.55055933118524</x:v>
      </x:c>
      <x:c r="K195" s="284">
        <x:f t="shared" si="45"/>
        <x:v>655.55055933118524</x:v>
      </x:c>
      <x:c r="L195" s="284">
        <x:f t="shared" si="45"/>
        <x:v>655.55055933118524</x:v>
      </x:c>
      <x:c r="M195" s="284">
        <x:f>+$I$157*M118</x:f>
        <x:v>655.55055933118524</x:v>
      </x:c>
      <x:c r="N195" s="284">
        <x:f t="shared" si="45"/>
        <x:v>655.55055933118524</x:v>
      </x:c>
      <x:c r="O195" s="284">
        <x:f t="shared" si="45"/>
        <x:v>655.55055933118524</x:v>
      </x:c>
      <x:c r="P195" s="284">
        <x:f t="shared" si="45"/>
        <x:v>655.55055933118558</x:v>
      </x:c>
      <x:c r="Q195" s="284">
        <x:f t="shared" si="45"/>
        <x:v>655.55055933118558</x:v>
      </x:c>
      <x:c r="R195" s="284">
        <x:f t="shared" si="45"/>
        <x:v>655.55055933118558</x:v>
      </x:c>
      <x:c r="S195" s="284">
        <x:f t="shared" si="45"/>
        <x:v>655.55055933118558</x:v>
      </x:c>
      <x:c r="T195" s="284">
        <x:f t="shared" si="45"/>
        <x:v>655.55055933118558</x:v>
      </x:c>
      <x:c r="U195" s="284">
        <x:f t="shared" si="10"/>
        <x:v>655.55055933118558</x:v>
      </x:c>
      <x:c r="V195" s="118"/>
      <x:c r="W195" s="1052"/>
    </x:row>
    <x:row r="196" spans="1:23" s="48" customFormat="1" ht="13.5">
      <x:c r="A196" s="76"/>
      <x:c r="B196" s="66" t="s">
        <x:v>367</x:v>
      </x:c>
      <x:c r="C196" s="67" t="s">
        <x:v>332</x:v>
      </x:c>
      <x:c r="D196" s="235"/>
      <x:c r="E196" s="235"/>
      <x:c r="F196" s="235" t="s">
        <x:v>368</x:v>
      </x:c>
      <x:c r="G196" s="68" t="s">
        <x:v>369</x:v>
      </x:c>
      <x:c r="H196" s="67">
        <x:v>2</x:v>
      </x:c>
      <x:c r="I196" s="235" t="s">
        <x:v>1089</x:v>
      </x:c>
      <x:c r="J196" s="284">
        <x:f>+$I$157*J119</x:f>
        <x:v>593.99699999999996</x:v>
      </x:c>
      <x:c r="K196" s="284">
        <x:f t="shared" ref="K196:T196" si="46">+$I$157*K119</x:f>
        <x:v>593.99699999999996</x:v>
      </x:c>
      <x:c r="L196" s="284">
        <x:f t="shared" si="46"/>
        <x:v>593.99699999999996</x:v>
      </x:c>
      <x:c r="M196" s="284">
        <x:f t="shared" si="46"/>
        <x:v>593.99699999999996</x:v>
      </x:c>
      <x:c r="N196" s="284">
        <x:f t="shared" si="46"/>
        <x:v>593.99699999999996</x:v>
      </x:c>
      <x:c r="O196" s="284">
        <x:f t="shared" si="46"/>
        <x:v>593.99699999999996</x:v>
      </x:c>
      <x:c r="P196" s="284">
        <x:f t="shared" si="46"/>
        <x:v>593.99699999999996</x:v>
      </x:c>
      <x:c r="Q196" s="284">
        <x:f t="shared" si="46"/>
        <x:v>593.99699999999996</x:v>
      </x:c>
      <x:c r="R196" s="284">
        <x:f t="shared" si="46"/>
        <x:v>593.99699999999996</x:v>
      </x:c>
      <x:c r="S196" s="284">
        <x:f t="shared" si="46"/>
        <x:v>593.99699999999996</x:v>
      </x:c>
      <x:c r="T196" s="284">
        <x:f t="shared" si="46"/>
        <x:v>593.99699999999996</x:v>
      </x:c>
      <x:c r="U196" s="284">
        <x:f t="shared" ref="U196" si="47">+$I$157*U119</x:f>
        <x:v>593.99699999999996</x:v>
      </x:c>
      <x:c r="V196" s="118"/>
      <x:c r="W196" s="1052"/>
    </x:row>
    <x:row r="197" spans="1:23" s="48" customFormat="1" ht="13.5">
      <x:c r="A197" s="76"/>
      <x:c r="B197" s="70"/>
      <x:c r="C197" s="1165" t="s">
        <x:v>332</x:v>
      </x:c>
      <x:c r="D197" s="1143"/>
      <x:c r="E197" s="1143"/>
      <x:c r="F197" s="1143" t="str">
        <x:f t="shared" ref="F197:I198" si="48">F196</x:f>
        <x:v>BUS BAR ASY - ARRAY 4 POS TO ARRAY 5 NEG</x:v>
      </x:c>
      <x:c r="G197" s="1136" t="s">
        <x:v>369</x:v>
      </x:c>
      <x:c r="H197" s="1135">
        <x:v>1</x:v>
      </x:c>
      <x:c r="I197" s="1143" t="str">
        <x:f t="shared" si="48"/>
        <x:v>터키 현지 외주</x:v>
      </x:c>
      <x:c r="J197" s="284">
        <x:f>+$I$157*J120</x:f>
        <x:v>593.99699999999996</x:v>
      </x:c>
      <x:c r="K197" s="284">
        <x:f t="shared" ref="K197:T197" si="49">+$I$157*K120</x:f>
        <x:v>593.99699999999996</x:v>
      </x:c>
      <x:c r="L197" s="284">
        <x:f t="shared" si="49"/>
        <x:v>593.99699999999996</x:v>
      </x:c>
      <x:c r="M197" s="284">
        <x:f t="shared" si="49"/>
        <x:v>593.99699999999996</x:v>
      </x:c>
      <x:c r="N197" s="284">
        <x:f t="shared" si="49"/>
        <x:v>593.99699999999996</x:v>
      </x:c>
      <x:c r="O197" s="284">
        <x:f t="shared" si="49"/>
        <x:v>593.99699999999996</x:v>
      </x:c>
      <x:c r="P197" s="284">
        <x:f t="shared" si="49"/>
        <x:v>593.99699999999996</x:v>
      </x:c>
      <x:c r="Q197" s="284">
        <x:f t="shared" si="49"/>
        <x:v>593.99699999999996</x:v>
      </x:c>
      <x:c r="R197" s="284">
        <x:f t="shared" si="49"/>
        <x:v>593.99699999999996</x:v>
      </x:c>
      <x:c r="S197" s="284">
        <x:f t="shared" si="49"/>
        <x:v>593.99699999999996</x:v>
      </x:c>
      <x:c r="T197" s="284">
        <x:f t="shared" si="49"/>
        <x:v>593.99699999999996</x:v>
      </x:c>
      <x:c r="U197" s="284">
        <x:f t="shared" ref="U197" si="50">+$I$157*U120</x:f>
        <x:v>593.99699999999996</x:v>
      </x:c>
      <x:c r="V197" s="118"/>
      <x:c r="W197" s="1052"/>
    </x:row>
    <x:row r="198" spans="1:23" s="48" customFormat="1" ht="13.5">
      <x:c r="A198" s="76"/>
      <x:c r="B198" s="70"/>
      <x:c r="C198" s="1165" t="s">
        <x:v>332</x:v>
      </x:c>
      <x:c r="D198" s="1143"/>
      <x:c r="E198" s="1143"/>
      <x:c r="F198" s="1143" t="str">
        <x:f t="shared" si="48"/>
        <x:v>BUS BAR ASY - ARRAY 4 POS TO ARRAY 5 NEG</x:v>
      </x:c>
      <x:c r="G198" s="1136" t="s">
        <x:v>1517</x:v>
      </x:c>
      <x:c r="H198" s="1135">
        <x:v>1</x:v>
      </x:c>
      <x:c r="I198" s="1143" t="str">
        <x:f t="shared" si="48"/>
        <x:v>터키 현지 외주</x:v>
      </x:c>
      <x:c r="J198" s="284">
        <x:f t="shared" ref="J198:T198" si="51">+$I$157*J121</x:f>
        <x:v>796.11</x:v>
      </x:c>
      <x:c r="K198" s="284">
        <x:f t="shared" si="51"/>
        <x:v>796.11</x:v>
      </x:c>
      <x:c r="L198" s="284">
        <x:f t="shared" si="51"/>
        <x:v>796.11</x:v>
      </x:c>
      <x:c r="M198" s="284">
        <x:f t="shared" si="51"/>
        <x:v>796.11</x:v>
      </x:c>
      <x:c r="N198" s="284">
        <x:f t="shared" si="51"/>
        <x:v>796.11</x:v>
      </x:c>
      <x:c r="O198" s="284">
        <x:f t="shared" si="51"/>
        <x:v>796.11</x:v>
      </x:c>
      <x:c r="P198" s="284">
        <x:f t="shared" si="51"/>
        <x:v>796.11</x:v>
      </x:c>
      <x:c r="Q198" s="284">
        <x:f t="shared" si="51"/>
        <x:v>796.11</x:v>
      </x:c>
      <x:c r="R198" s="284">
        <x:f t="shared" si="51"/>
        <x:v>796.11</x:v>
      </x:c>
      <x:c r="S198" s="284">
        <x:f t="shared" si="51"/>
        <x:v>796.11</x:v>
      </x:c>
      <x:c r="T198" s="284">
        <x:f t="shared" si="51"/>
        <x:v>796.11</x:v>
      </x:c>
      <x:c r="U198" s="284">
        <x:f t="shared" ref="U198" si="52">+$I$157*U121</x:f>
        <x:v>796.11</x:v>
      </x:c>
      <x:c r="V198" s="118"/>
      <x:c r="W198" s="1052"/>
    </x:row>
    <x:row r="199" spans="1:23" s="48" customFormat="1" ht="13.5">
      <x:c r="A199" s="76"/>
      <x:c r="B199" s="70"/>
      <x:c r="C199" s="235" t="s">
        <x:v>332</x:v>
      </x:c>
      <x:c r="D199" s="235"/>
      <x:c r="E199" s="235"/>
      <x:c r="F199" s="235" t="s">
        <x:v>370</x:v>
      </x:c>
      <x:c r="G199" s="236" t="s">
        <x:v>371</x:v>
      </x:c>
      <x:c r="H199" s="235">
        <x:v>2</x:v>
      </x:c>
      <x:c r="I199" s="235" t="s">
        <x:v>1089</x:v>
      </x:c>
      <x:c r="J199" s="284">
        <x:f t="shared" ref="J199:T199" si="53">+$I$157*J122</x:f>
        <x:v>665.21849999999995</x:v>
      </x:c>
      <x:c r="K199" s="284">
        <x:f t="shared" si="53"/>
        <x:v>665.21849999999995</x:v>
      </x:c>
      <x:c r="L199" s="284">
        <x:f t="shared" si="53"/>
        <x:v>665.21849999999995</x:v>
      </x:c>
      <x:c r="M199" s="284">
        <x:f t="shared" si="53"/>
        <x:v>665.21849999999995</x:v>
      </x:c>
      <x:c r="N199" s="284">
        <x:f t="shared" si="53"/>
        <x:v>665.21849999999995</x:v>
      </x:c>
      <x:c r="O199" s="284">
        <x:f t="shared" si="53"/>
        <x:v>665.21849999999995</x:v>
      </x:c>
      <x:c r="P199" s="284">
        <x:f t="shared" si="53"/>
        <x:v>665.21849999999995</x:v>
      </x:c>
      <x:c r="Q199" s="284">
        <x:f t="shared" si="53"/>
        <x:v>665.21849999999995</x:v>
      </x:c>
      <x:c r="R199" s="284">
        <x:f t="shared" si="53"/>
        <x:v>665.21849999999995</x:v>
      </x:c>
      <x:c r="S199" s="284">
        <x:f t="shared" si="53"/>
        <x:v>665.21849999999995</x:v>
      </x:c>
      <x:c r="T199" s="284">
        <x:f t="shared" si="53"/>
        <x:v>665.21849999999995</x:v>
      </x:c>
      <x:c r="U199" s="284">
        <x:f t="shared" ref="U199" si="54">+$I$157*U122</x:f>
        <x:v>665.21849999999995</x:v>
      </x:c>
      <x:c r="V199" s="114"/>
      <x:c r="W199" s="1046"/>
    </x:row>
    <x:row r="200" spans="1:23" s="48" customFormat="1" ht="13.5">
      <x:c r="A200" s="76"/>
      <x:c r="B200" s="70"/>
      <x:c r="C200" s="1165" t="s">
        <x:v>332</x:v>
      </x:c>
      <x:c r="D200" s="1143"/>
      <x:c r="E200" s="1143"/>
      <x:c r="F200" s="1143" t="str">
        <x:f t="shared" ref="F200:I200" si="55">F199</x:f>
        <x:v>BUS BAR ASY – COMMON BUSBAR ARRAY 3-2, 2-1</x:v>
      </x:c>
      <x:c r="G200" s="1144" t="str">
        <x:f t="shared" si="55"/>
        <x:v>S2X8-14A033-EC</x:v>
      </x:c>
      <x:c r="H200" s="1143">
        <x:f t="shared" si="55"/>
        <x:v>2</x:v>
      </x:c>
      <x:c r="I200" s="1143" t="str">
        <x:f t="shared" si="55"/>
        <x:v>터키 현지 외주</x:v>
      </x:c>
      <x:c r="J200" s="284">
        <x:f t="shared" ref="J200:T200" si="56">+$I$157*J123</x:f>
        <x:v>918</x:v>
      </x:c>
      <x:c r="K200" s="284">
        <x:f t="shared" si="56"/>
        <x:v>918</x:v>
      </x:c>
      <x:c r="L200" s="284">
        <x:f t="shared" si="56"/>
        <x:v>918</x:v>
      </x:c>
      <x:c r="M200" s="284">
        <x:f t="shared" si="56"/>
        <x:v>918</x:v>
      </x:c>
      <x:c r="N200" s="284">
        <x:f t="shared" si="56"/>
        <x:v>918</x:v>
      </x:c>
      <x:c r="O200" s="284">
        <x:f t="shared" si="56"/>
        <x:v>918</x:v>
      </x:c>
      <x:c r="P200" s="284">
        <x:f t="shared" si="56"/>
        <x:v>918</x:v>
      </x:c>
      <x:c r="Q200" s="284">
        <x:f t="shared" si="56"/>
        <x:v>918</x:v>
      </x:c>
      <x:c r="R200" s="284">
        <x:f t="shared" si="56"/>
        <x:v>918</x:v>
      </x:c>
      <x:c r="S200" s="284">
        <x:f t="shared" si="56"/>
        <x:v>918</x:v>
      </x:c>
      <x:c r="T200" s="284">
        <x:f t="shared" si="56"/>
        <x:v>918</x:v>
      </x:c>
      <x:c r="U200" s="284">
        <x:f t="shared" ref="U200" si="57">+$I$157*U123</x:f>
        <x:v>918</x:v>
      </x:c>
      <x:c r="V200" s="117"/>
      <x:c r="W200" s="1046"/>
    </x:row>
    <x:row r="201" spans="1:23" s="48" customFormat="1" ht="13.5">
      <x:c r="A201" s="76"/>
      <x:c r="B201" s="70"/>
      <x:c r="C201" s="1143" t="s">
        <x:v>332</x:v>
      </x:c>
      <x:c r="D201" s="1143"/>
      <x:c r="E201" s="1153"/>
      <x:c r="F201" s="1154" t="s">
        <x:v>372</x:v>
      </x:c>
      <x:c r="G201" s="1144" t="s">
        <x:v>373</x:v>
      </x:c>
      <x:c r="H201" s="1155">
        <x:v>1</x:v>
      </x:c>
      <x:c r="I201" s="1143" t="s">
        <x:v>1089</x:v>
      </x:c>
      <x:c r="J201" s="284">
        <x:f t="shared" ref="J201:T201" si="58">+$I$157*J124</x:f>
        <x:v>522.29099999999994</x:v>
      </x:c>
      <x:c r="K201" s="284">
        <x:f t="shared" si="58"/>
        <x:v>522.29099999999994</x:v>
      </x:c>
      <x:c r="L201" s="284">
        <x:f t="shared" si="58"/>
        <x:v>522.29099999999994</x:v>
      </x:c>
      <x:c r="M201" s="284">
        <x:f t="shared" si="58"/>
        <x:v>522.29099999999994</x:v>
      </x:c>
      <x:c r="N201" s="284">
        <x:f t="shared" si="58"/>
        <x:v>522.29099999999994</x:v>
      </x:c>
      <x:c r="O201" s="284">
        <x:f t="shared" si="58"/>
        <x:v>522.29099999999994</x:v>
      </x:c>
      <x:c r="P201" s="284">
        <x:f t="shared" si="58"/>
        <x:v>522.29099999999994</x:v>
      </x:c>
      <x:c r="Q201" s="284">
        <x:f t="shared" si="58"/>
        <x:v>522.29099999999994</x:v>
      </x:c>
      <x:c r="R201" s="284">
        <x:f t="shared" si="58"/>
        <x:v>522.29099999999994</x:v>
      </x:c>
      <x:c r="S201" s="284">
        <x:f t="shared" si="58"/>
        <x:v>522.29099999999994</x:v>
      </x:c>
      <x:c r="T201" s="284">
        <x:f t="shared" si="58"/>
        <x:v>522.29099999999994</x:v>
      </x:c>
      <x:c r="U201" s="284">
        <x:f t="shared" ref="U201" si="59">+$I$157*U124</x:f>
        <x:v>522.29099999999994</x:v>
      </x:c>
      <x:c r="V201" s="117"/>
      <x:c r="W201" s="1046"/>
    </x:row>
    <x:row r="202" spans="1:23" s="48" customFormat="1" ht="13.5">
      <x:c r="A202" s="76"/>
      <x:c r="B202" s="70"/>
      <x:c r="C202" s="1165" t="s">
        <x:v>332</x:v>
      </x:c>
      <x:c r="D202" s="61"/>
      <x:c r="E202" s="71"/>
      <x:c r="F202" s="72" t="str">
        <x:f t="shared" ref="F202:I202" si="60">F201</x:f>
        <x:v>BUS BAR ASY – POS BEC TO ARRAY 6 POS </x:v>
      </x:c>
      <x:c r="G202" s="62" t="str">
        <x:f t="shared" si="60"/>
        <x:v>S2X8-14A033-AC</x:v>
      </x:c>
      <x:c r="H202" s="73">
        <x:f t="shared" si="60"/>
        <x:v>1</x:v>
      </x:c>
      <x:c r="I202" s="61" t="str">
        <x:f t="shared" si="60"/>
        <x:v>터키 현지 외주</x:v>
      </x:c>
      <x:c r="J202" s="284">
        <x:f t="shared" ref="J202:T202" si="61">+$I$157*J125</x:f>
        <x:v>736.43999999999994</x:v>
      </x:c>
      <x:c r="K202" s="284">
        <x:f t="shared" si="61"/>
        <x:v>736.43999999999994</x:v>
      </x:c>
      <x:c r="L202" s="284">
        <x:f t="shared" si="61"/>
        <x:v>736.43999999999994</x:v>
      </x:c>
      <x:c r="M202" s="284">
        <x:f t="shared" si="61"/>
        <x:v>736.43999999999994</x:v>
      </x:c>
      <x:c r="N202" s="284">
        <x:f t="shared" si="61"/>
        <x:v>736.43999999999994</x:v>
      </x:c>
      <x:c r="O202" s="284">
        <x:f t="shared" si="61"/>
        <x:v>736.43999999999994</x:v>
      </x:c>
      <x:c r="P202" s="284">
        <x:f t="shared" si="61"/>
        <x:v>736.43999999999994</x:v>
      </x:c>
      <x:c r="Q202" s="284">
        <x:f t="shared" si="61"/>
        <x:v>736.43999999999994</x:v>
      </x:c>
      <x:c r="R202" s="284">
        <x:f t="shared" si="61"/>
        <x:v>736.43999999999994</x:v>
      </x:c>
      <x:c r="S202" s="284">
        <x:f t="shared" si="61"/>
        <x:v>736.43999999999994</x:v>
      </x:c>
      <x:c r="T202" s="284">
        <x:f t="shared" si="61"/>
        <x:v>736.43999999999994</x:v>
      </x:c>
      <x:c r="U202" s="284">
        <x:f t="shared" ref="U202" si="62">+$I$157*U125</x:f>
        <x:v>736.43999999999994</x:v>
      </x:c>
      <x:c r="V202" s="117"/>
      <x:c r="W202" s="1149"/>
    </x:row>
    <x:row r="203" spans="1:23" s="48" customFormat="1" ht="13.5">
      <x:c r="A203" s="76"/>
      <x:c r="B203" s="70"/>
      <x:c r="C203" s="240" t="s">
        <x:v>332</x:v>
      </x:c>
      <x:c r="D203" s="240"/>
      <x:c r="E203" s="244"/>
      <x:c r="F203" s="245" t="s">
        <x:v>374</x:v>
      </x:c>
      <x:c r="G203" s="241" t="s">
        <x:v>375</x:v>
      </x:c>
      <x:c r="H203" s="246">
        <x:v>1</x:v>
      </x:c>
      <x:c r="I203" s="240" t="s">
        <x:v>1089</x:v>
      </x:c>
      <x:c r="J203" s="284">
        <x:f t="shared" ref="J203:T203" si="63">+$I$157*J126</x:f>
        <x:v>338.18100000000004</x:v>
      </x:c>
      <x:c r="K203" s="284">
        <x:f t="shared" si="63"/>
        <x:v>338.18100000000004</x:v>
      </x:c>
      <x:c r="L203" s="284">
        <x:f t="shared" si="63"/>
        <x:v>338.18100000000004</x:v>
      </x:c>
      <x:c r="M203" s="284">
        <x:f t="shared" si="63"/>
        <x:v>338.18100000000004</x:v>
      </x:c>
      <x:c r="N203" s="284">
        <x:f t="shared" si="63"/>
        <x:v>338.18100000000004</x:v>
      </x:c>
      <x:c r="O203" s="284">
        <x:f t="shared" si="63"/>
        <x:v>338.18100000000004</x:v>
      </x:c>
      <x:c r="P203" s="284">
        <x:f t="shared" si="63"/>
        <x:v>338.18100000000004</x:v>
      </x:c>
      <x:c r="Q203" s="284">
        <x:f t="shared" si="63"/>
        <x:v>338.18100000000004</x:v>
      </x:c>
      <x:c r="R203" s="284">
        <x:f t="shared" si="63"/>
        <x:v>338.18100000000004</x:v>
      </x:c>
      <x:c r="S203" s="284">
        <x:f t="shared" si="63"/>
        <x:v>338.18100000000004</x:v>
      </x:c>
      <x:c r="T203" s="284">
        <x:f t="shared" si="63"/>
        <x:v>338.18100000000004</x:v>
      </x:c>
      <x:c r="U203" s="284">
        <x:f t="shared" ref="U203" si="64">+$I$157*U126</x:f>
        <x:v>338.18100000000004</x:v>
      </x:c>
      <x:c r="V203" s="113"/>
      <x:c r="W203" s="1053"/>
    </x:row>
    <x:row r="204" spans="1:23" s="48" customFormat="1" ht="13.5">
      <x:c r="A204" s="76"/>
      <x:c r="B204" s="70"/>
      <x:c r="C204" s="240" t="s">
        <x:v>332</x:v>
      </x:c>
      <x:c r="D204" s="235"/>
      <x:c r="E204" s="244"/>
      <x:c r="F204" s="245" t="s">
        <x:v>376</x:v>
      </x:c>
      <x:c r="G204" s="241" t="s">
        <x:v>377</x:v>
      </x:c>
      <x:c r="H204" s="246">
        <x:v>1</x:v>
      </x:c>
      <x:c r="I204" s="240" t="s">
        <x:v>1089</x:v>
      </x:c>
      <x:c r="J204" s="284">
        <x:f t="shared" ref="J204:T204" si="65">+$I$157*J127</x:f>
        <x:v>596.904</x:v>
      </x:c>
      <x:c r="K204" s="284">
        <x:f t="shared" si="65"/>
        <x:v>596.904</x:v>
      </x:c>
      <x:c r="L204" s="284">
        <x:f t="shared" si="65"/>
        <x:v>596.904</x:v>
      </x:c>
      <x:c r="M204" s="284">
        <x:f t="shared" si="65"/>
        <x:v>596.904</x:v>
      </x:c>
      <x:c r="N204" s="284">
        <x:f t="shared" si="65"/>
        <x:v>596.904</x:v>
      </x:c>
      <x:c r="O204" s="284">
        <x:f t="shared" si="65"/>
        <x:v>596.904</x:v>
      </x:c>
      <x:c r="P204" s="284">
        <x:f t="shared" si="65"/>
        <x:v>596.904</x:v>
      </x:c>
      <x:c r="Q204" s="284">
        <x:f t="shared" si="65"/>
        <x:v>596.904</x:v>
      </x:c>
      <x:c r="R204" s="284">
        <x:f t="shared" si="65"/>
        <x:v>596.904</x:v>
      </x:c>
      <x:c r="S204" s="284">
        <x:f t="shared" si="65"/>
        <x:v>596.904</x:v>
      </x:c>
      <x:c r="T204" s="284">
        <x:f t="shared" si="65"/>
        <x:v>596.904</x:v>
      </x:c>
      <x:c r="U204" s="284">
        <x:f t="shared" ref="U204" si="66">+$I$157*U127</x:f>
        <x:v>596.904</x:v>
      </x:c>
      <x:c r="V204" s="113"/>
      <x:c r="W204" s="1053"/>
    </x:row>
    <x:row r="205" spans="1:23" s="48" customFormat="1" ht="13.5">
      <x:c r="A205" s="76"/>
      <x:c r="B205" s="70"/>
      <x:c r="C205" s="240" t="s">
        <x:v>332</x:v>
      </x:c>
      <x:c r="D205" s="240"/>
      <x:c r="E205" s="240"/>
      <x:c r="F205" s="240" t="s">
        <x:v>378</x:v>
      </x:c>
      <x:c r="G205" s="241" t="s">
        <x:v>379</x:v>
      </x:c>
      <x:c r="H205" s="246">
        <x:v>1</x:v>
      </x:c>
      <x:c r="I205" s="240" t="s">
        <x:v>1089</x:v>
      </x:c>
      <x:c r="J205" s="284">
        <x:f t="shared" ref="J205:T205" si="67">+$I$157*J128</x:f>
        <x:v>333.33599999999996</x:v>
      </x:c>
      <x:c r="K205" s="284">
        <x:f t="shared" si="67"/>
        <x:v>333.33599999999996</x:v>
      </x:c>
      <x:c r="L205" s="284">
        <x:f t="shared" si="67"/>
        <x:v>333.33599999999996</x:v>
      </x:c>
      <x:c r="M205" s="284">
        <x:f t="shared" si="67"/>
        <x:v>333.33599999999996</x:v>
      </x:c>
      <x:c r="N205" s="284">
        <x:f t="shared" si="67"/>
        <x:v>333.33599999999996</x:v>
      </x:c>
      <x:c r="O205" s="284">
        <x:f t="shared" si="67"/>
        <x:v>333.33599999999996</x:v>
      </x:c>
      <x:c r="P205" s="284">
        <x:f t="shared" si="67"/>
        <x:v>333.33599999999996</x:v>
      </x:c>
      <x:c r="Q205" s="284">
        <x:f t="shared" si="67"/>
        <x:v>333.33599999999996</x:v>
      </x:c>
      <x:c r="R205" s="284">
        <x:f t="shared" si="67"/>
        <x:v>333.33599999999996</x:v>
      </x:c>
      <x:c r="S205" s="284">
        <x:f t="shared" si="67"/>
        <x:v>333.33599999999996</x:v>
      </x:c>
      <x:c r="T205" s="284">
        <x:f t="shared" si="67"/>
        <x:v>333.33599999999996</x:v>
      </x:c>
      <x:c r="U205" s="284">
        <x:f t="shared" ref="U205" si="68">+$I$157*U128</x:f>
        <x:v>333.33599999999996</x:v>
      </x:c>
      <x:c r="V205" s="114"/>
      <x:c r="W205" s="1054"/>
    </x:row>
    <x:row r="206" spans="1:23" s="48" customFormat="1" ht="13.5">
      <x:c r="A206" s="76"/>
      <x:c r="B206" s="70"/>
      <x:c r="C206" s="1165" t="s">
        <x:v>332</x:v>
      </x:c>
      <x:c r="D206" s="1142"/>
      <x:c r="E206" s="1142"/>
      <x:c r="F206" s="1142" t="str">
        <x:f t="shared" ref="F206:I206" si="69">F205</x:f>
        <x:v>BUS BAR ASY – ARRAY 1 NEG TO NEG BEC</x:v>
      </x:c>
      <x:c r="G206" s="1150" t="str">
        <x:f t="shared" si="69"/>
        <x:v>S2X8-14A033-GC</x:v>
      </x:c>
      <x:c r="H206" s="1151">
        <x:f t="shared" si="69"/>
        <x:v>1</x:v>
      </x:c>
      <x:c r="I206" s="1142" t="str">
        <x:f t="shared" si="69"/>
        <x:v>터키 현지 외주</x:v>
      </x:c>
      <x:c r="J206" s="284">
        <x:f t="shared" ref="J206:T206" si="70">+$I$157*J129</x:f>
        <x:v>499.8</x:v>
      </x:c>
      <x:c r="K206" s="284">
        <x:f t="shared" si="70"/>
        <x:v>499.8</x:v>
      </x:c>
      <x:c r="L206" s="284">
        <x:f t="shared" si="70"/>
        <x:v>499.8</x:v>
      </x:c>
      <x:c r="M206" s="284">
        <x:f t="shared" si="70"/>
        <x:v>499.8</x:v>
      </x:c>
      <x:c r="N206" s="284">
        <x:f t="shared" si="70"/>
        <x:v>499.8</x:v>
      </x:c>
      <x:c r="O206" s="284">
        <x:f t="shared" si="70"/>
        <x:v>499.8</x:v>
      </x:c>
      <x:c r="P206" s="284">
        <x:f t="shared" si="70"/>
        <x:v>499.8</x:v>
      </x:c>
      <x:c r="Q206" s="284">
        <x:f t="shared" si="70"/>
        <x:v>499.8</x:v>
      </x:c>
      <x:c r="R206" s="284">
        <x:f t="shared" si="70"/>
        <x:v>499.8</x:v>
      </x:c>
      <x:c r="S206" s="284">
        <x:f t="shared" si="70"/>
        <x:v>499.8</x:v>
      </x:c>
      <x:c r="T206" s="284">
        <x:f t="shared" si="70"/>
        <x:v>499.8</x:v>
      </x:c>
      <x:c r="U206" s="284">
        <x:f t="shared" ref="U206" si="71">+$I$157*U129</x:f>
        <x:v>499.8</x:v>
      </x:c>
      <x:c r="V206" s="1161"/>
      <x:c r="W206" s="1054"/>
    </x:row>
    <x:row r="207" spans="1:23" s="48" customFormat="1" ht="13.5">
      <x:c r="A207" s="76"/>
      <x:c r="B207" s="70"/>
      <x:c r="C207" s="240" t="s">
        <x:v>332</x:v>
      </x:c>
      <x:c r="D207" s="235"/>
      <x:c r="E207" s="235"/>
      <x:c r="F207" s="235" t="s">
        <x:v>380</x:v>
      </x:c>
      <x:c r="G207" s="236" t="s">
        <x:v>381</x:v>
      </x:c>
      <x:c r="H207" s="246">
        <x:v>1</x:v>
      </x:c>
      <x:c r="I207" s="235" t="s">
        <x:v>1089</x:v>
      </x:c>
      <x:c r="J207" s="283">
        <x:f t="shared" ref="J207:T207" si="72">+$I$157*J130</x:f>
        <x:v>673.93949999999995</x:v>
      </x:c>
      <x:c r="K207" s="112">
        <x:f t="shared" si="72"/>
        <x:v>673.93949999999995</x:v>
      </x:c>
      <x:c r="L207" s="112">
        <x:f t="shared" si="72"/>
        <x:v>673.93949999999995</x:v>
      </x:c>
      <x:c r="M207" s="112">
        <x:f t="shared" si="72"/>
        <x:v>673.93949999999995</x:v>
      </x:c>
      <x:c r="N207" s="112">
        <x:f t="shared" si="72"/>
        <x:v>673.93949999999995</x:v>
      </x:c>
      <x:c r="O207" s="112">
        <x:f t="shared" si="72"/>
        <x:v>673.93949999999995</x:v>
      </x:c>
      <x:c r="P207" s="112">
        <x:f t="shared" si="72"/>
        <x:v>673.93949999999995</x:v>
      </x:c>
      <x:c r="Q207" s="112">
        <x:f t="shared" si="72"/>
        <x:v>673.93949999999995</x:v>
      </x:c>
      <x:c r="R207" s="112">
        <x:f t="shared" si="72"/>
        <x:v>673.93949999999995</x:v>
      </x:c>
      <x:c r="S207" s="112">
        <x:f t="shared" si="72"/>
        <x:v>673.93949999999995</x:v>
      </x:c>
      <x:c r="T207" s="112">
        <x:f t="shared" si="72"/>
        <x:v>673.93949999999995</x:v>
      </x:c>
      <x:c r="U207" s="112">
        <x:f>+$I$157*U130</x:f>
        <x:v>673.93949999999995</x:v>
      </x:c>
      <x:c r="V207" s="114"/>
      <x:c r="W207" s="1054"/>
    </x:row>
    <x:row r="208" spans="1:23" s="48" customFormat="1" ht="13.5">
      <x:c r="A208" s="76"/>
      <x:c r="B208" s="75"/>
      <x:c r="C208" s="235" t="s">
        <x:v>332</x:v>
      </x:c>
      <x:c r="D208" s="235"/>
      <x:c r="E208" s="247"/>
      <x:c r="F208" s="248" t="s">
        <x:v>382</x:v>
      </x:c>
      <x:c r="G208" s="236" t="s">
        <x:v>383</x:v>
      </x:c>
      <x:c r="H208" s="249">
        <x:v>1</x:v>
      </x:c>
      <x:c r="I208" s="235" t="s">
        <x:v>1089</x:v>
      </x:c>
      <x:c r="J208" s="283">
        <x:f t="shared" ref="J208:T208" si="73">+$I$157*J131</x:f>
        <x:v>482.07749999999993</x:v>
      </x:c>
      <x:c r="K208" s="283">
        <x:f t="shared" si="73"/>
        <x:v>482.07749999999993</x:v>
      </x:c>
      <x:c r="L208" s="283">
        <x:f t="shared" si="73"/>
        <x:v>482.07749999999993</x:v>
      </x:c>
      <x:c r="M208" s="283">
        <x:f t="shared" si="73"/>
        <x:v>482.07749999999993</x:v>
      </x:c>
      <x:c r="N208" s="283">
        <x:f t="shared" si="73"/>
        <x:v>482.07749999999993</x:v>
      </x:c>
      <x:c r="O208" s="283">
        <x:f t="shared" si="73"/>
        <x:v>482.07749999999993</x:v>
      </x:c>
      <x:c r="P208" s="283">
        <x:f t="shared" si="73"/>
        <x:v>482.07749999999993</x:v>
      </x:c>
      <x:c r="Q208" s="283">
        <x:f t="shared" si="73"/>
        <x:v>482.07749999999993</x:v>
      </x:c>
      <x:c r="R208" s="283">
        <x:f t="shared" si="73"/>
        <x:v>482.07749999999993</x:v>
      </x:c>
      <x:c r="S208" s="283">
        <x:f t="shared" si="73"/>
        <x:v>482.07749999999993</x:v>
      </x:c>
      <x:c r="T208" s="283">
        <x:f t="shared" si="73"/>
        <x:v>482.07749999999993</x:v>
      </x:c>
      <x:c r="U208" s="283">
        <x:f>+$I$157*U131</x:f>
        <x:v>482.07749999999993</x:v>
      </x:c>
      <x:c r="V208" s="114"/>
      <x:c r="W208" s="1068"/>
    </x:row>
    <x:row r="209" spans="1:23" s="48" customFormat="1" ht="13.5">
      <x:c r="A209" s="76"/>
      <x:c r="B209" s="70" t="s">
        <x:v>384</x:v>
      </x:c>
      <x:c r="C209" s="240"/>
      <x:c r="D209" s="235" t="s">
        <x:v>332</x:v>
      </x:c>
      <x:c r="E209" s="247"/>
      <x:c r="F209" s="248" t="s">
        <x:v>385</x:v>
      </x:c>
      <x:c r="G209" s="236" t="s">
        <x:v>386</x:v>
      </x:c>
      <x:c r="H209" s="246">
        <x:v>1</x:v>
      </x:c>
      <x:c r="I209" s="235" t="s">
        <x:v>387</x:v>
      </x:c>
      <x:c r="J209" s="283">
        <x:f t="shared" ref="J209:T209" si="74">+$I$157*J132</x:f>
        <x:v>63.75</x:v>
      </x:c>
      <x:c r="K209" s="283">
        <x:f t="shared" si="74"/>
        <x:v>63.75</x:v>
      </x:c>
      <x:c r="L209" s="283">
        <x:f t="shared" si="74"/>
        <x:v>63.75</x:v>
      </x:c>
      <x:c r="M209" s="283">
        <x:f t="shared" si="74"/>
        <x:v>63.75</x:v>
      </x:c>
      <x:c r="N209" s="283">
        <x:f t="shared" si="74"/>
        <x:v>63.75</x:v>
      </x:c>
      <x:c r="O209" s="283">
        <x:f t="shared" si="74"/>
        <x:v>63.75</x:v>
      </x:c>
      <x:c r="P209" s="283">
        <x:f t="shared" si="74"/>
        <x:v>63.75</x:v>
      </x:c>
      <x:c r="Q209" s="283">
        <x:f t="shared" si="74"/>
        <x:v>63.75</x:v>
      </x:c>
      <x:c r="R209" s="283">
        <x:f t="shared" si="74"/>
        <x:v>63.75</x:v>
      </x:c>
      <x:c r="S209" s="283">
        <x:f t="shared" si="74"/>
        <x:v>63.75</x:v>
      </x:c>
      <x:c r="T209" s="283">
        <x:f t="shared" si="74"/>
        <x:v>63.75</x:v>
      </x:c>
      <x:c r="U209" s="283">
        <x:f>+$I$157*U132</x:f>
        <x:v>63.75</x:v>
      </x:c>
      <x:c r="V209" s="114"/>
      <x:c r="W209" s="1056"/>
    </x:row>
    <x:row r="210" spans="1:23" s="48" customFormat="1" ht="13.5">
      <x:c r="A210" s="76"/>
      <x:c r="B210" s="70" t="s">
        <x:v>388</x:v>
      </x:c>
      <x:c r="C210" s="240"/>
      <x:c r="D210" s="235" t="s">
        <x:v>332</x:v>
      </x:c>
      <x:c r="E210" s="247"/>
      <x:c r="F210" s="248" t="s">
        <x:v>389</x:v>
      </x:c>
      <x:c r="G210" s="236" t="s">
        <x:v>390</x:v>
      </x:c>
      <x:c r="H210" s="246">
        <x:v>1</x:v>
      </x:c>
      <x:c r="I210" s="235" t="s">
        <x:v>387</x:v>
      </x:c>
      <x:c r="J210" s="283">
        <x:f t="shared" ref="J210:T210" si="75">+$I$157*J133</x:f>
        <x:v>74.97</x:v>
      </x:c>
      <x:c r="K210" s="283">
        <x:f t="shared" si="75"/>
        <x:v>74.97</x:v>
      </x:c>
      <x:c r="L210" s="283">
        <x:f t="shared" si="75"/>
        <x:v>74.97</x:v>
      </x:c>
      <x:c r="M210" s="283">
        <x:f t="shared" si="75"/>
        <x:v>74.97</x:v>
      </x:c>
      <x:c r="N210" s="283">
        <x:f t="shared" si="75"/>
        <x:v>74.97</x:v>
      </x:c>
      <x:c r="O210" s="283">
        <x:f t="shared" si="75"/>
        <x:v>74.97</x:v>
      </x:c>
      <x:c r="P210" s="283">
        <x:f t="shared" si="75"/>
        <x:v>74.97</x:v>
      </x:c>
      <x:c r="Q210" s="283">
        <x:f t="shared" si="75"/>
        <x:v>74.97</x:v>
      </x:c>
      <x:c r="R210" s="283">
        <x:f t="shared" si="75"/>
        <x:v>74.97</x:v>
      </x:c>
      <x:c r="S210" s="283">
        <x:f t="shared" si="75"/>
        <x:v>74.97</x:v>
      </x:c>
      <x:c r="T210" s="283">
        <x:f t="shared" si="75"/>
        <x:v>74.97</x:v>
      </x:c>
      <x:c r="U210" s="283">
        <x:f>+$I$157*U133</x:f>
        <x:v>74.97</x:v>
      </x:c>
      <x:c r="V210" s="114"/>
      <x:c r="W210" s="1056"/>
    </x:row>
    <x:row r="211" spans="1:23" s="48" customFormat="1" ht="13.5">
      <x:c r="A211" s="76"/>
      <x:c r="B211" s="70"/>
      <x:c r="C211" s="240"/>
      <x:c r="D211" s="235" t="s">
        <x:v>332</x:v>
      </x:c>
      <x:c r="E211" s="247"/>
      <x:c r="F211" s="248" t="s">
        <x:v>391</x:v>
      </x:c>
      <x:c r="G211" s="236" t="s">
        <x:v>392</x:v>
      </x:c>
      <x:c r="H211" s="246">
        <x:v>2</x:v>
      </x:c>
      <x:c r="I211" s="235" t="s">
        <x:v>387</x:v>
      </x:c>
      <x:c r="J211" s="283">
        <x:f t="shared" ref="J211:T211" si="76">+$I$157*J134</x:f>
        <x:v>56.610000000000007</x:v>
      </x:c>
      <x:c r="K211" s="283">
        <x:f t="shared" si="76"/>
        <x:v>56.610000000000007</x:v>
      </x:c>
      <x:c r="L211" s="283">
        <x:f t="shared" si="76"/>
        <x:v>56.610000000000007</x:v>
      </x:c>
      <x:c r="M211" s="283">
        <x:f t="shared" si="76"/>
        <x:v>56.610000000000007</x:v>
      </x:c>
      <x:c r="N211" s="283">
        <x:f t="shared" si="76"/>
        <x:v>56.610000000000007</x:v>
      </x:c>
      <x:c r="O211" s="283">
        <x:f t="shared" si="76"/>
        <x:v>56.610000000000007</x:v>
      </x:c>
      <x:c r="P211" s="283">
        <x:f t="shared" si="76"/>
        <x:v>56.610000000000007</x:v>
      </x:c>
      <x:c r="Q211" s="283">
        <x:f t="shared" si="76"/>
        <x:v>56.610000000000007</x:v>
      </x:c>
      <x:c r="R211" s="283">
        <x:f t="shared" si="76"/>
        <x:v>56.610000000000007</x:v>
      </x:c>
      <x:c r="S211" s="283">
        <x:f t="shared" si="76"/>
        <x:v>56.610000000000007</x:v>
      </x:c>
      <x:c r="T211" s="283">
        <x:f t="shared" si="76"/>
        <x:v>56.610000000000007</x:v>
      </x:c>
      <x:c r="U211" s="283">
        <x:f>+$I$157*U134</x:f>
        <x:v>56.610000000000007</x:v>
      </x:c>
      <x:c r="V211" s="114"/>
      <x:c r="W211" s="1056"/>
    </x:row>
    <x:row r="212" spans="1:23" s="48" customFormat="1" ht="13.5">
      <x:c r="A212" s="78"/>
      <x:c r="B212" s="79" t="s">
        <x:v>393</x:v>
      </x:c>
      <x:c r="C212" s="240" t="s">
        <x:v>332</x:v>
      </x:c>
      <x:c r="D212" s="250"/>
      <x:c r="E212" s="250"/>
      <x:c r="F212" s="251" t="s">
        <x:v>394</x:v>
      </x:c>
      <x:c r="G212" s="252" t="s">
        <x:v>395</x:v>
      </x:c>
      <x:c r="H212" s="253">
        <x:v>1</x:v>
      </x:c>
      <x:c r="I212" s="235" t="s">
        <x:v>396</x:v>
      </x:c>
      <x:c r="J212" s="1171">
        <x:f>+$I$157*J135</x:f>
        <x:v>7295.3982800922822</x:v>
      </x:c>
      <x:c r="K212" s="1171">
        <x:f t="shared" ref="K212:U212" si="77">+$I$157*K135</x:f>
        <x:v>7295.3982800922822</x:v>
      </x:c>
      <x:c r="L212" s="1171">
        <x:f t="shared" si="77"/>
        <x:v>7295.3982800922822</x:v>
      </x:c>
      <x:c r="M212" s="1171">
        <x:f t="shared" si="77"/>
        <x:v>7295.3982800922822</x:v>
      </x:c>
      <x:c r="N212" s="1171">
        <x:f t="shared" si="77"/>
        <x:v>7295.3982800922822</x:v>
      </x:c>
      <x:c r="O212" s="1171">
        <x:f t="shared" si="77"/>
        <x:v>7295.3982800922822</x:v>
      </x:c>
      <x:c r="P212" s="1171">
        <x:f t="shared" si="77"/>
        <x:v>7295.3982800922822</x:v>
      </x:c>
      <x:c r="Q212" s="1171">
        <x:f t="shared" si="77"/>
        <x:v>7295.3982800922822</x:v>
      </x:c>
      <x:c r="R212" s="1171">
        <x:f t="shared" si="77"/>
        <x:v>7295.3982800922822</x:v>
      </x:c>
      <x:c r="S212" s="1171">
        <x:f t="shared" si="77"/>
        <x:v>7295.3982800922822</x:v>
      </x:c>
      <x:c r="T212" s="1171">
        <x:f t="shared" si="77"/>
        <x:v>7295.3982800922822</x:v>
      </x:c>
      <x:c r="U212" s="1171">
        <x:f t="shared" si="77"/>
        <x:v>7295.3982800922822</x:v>
      </x:c>
      <x:c r="V212" s="114"/>
      <x:c r="W212" s="280"/>
    </x:row>
    <x:row r="213" spans="1:23" s="48" customFormat="1" ht="13.5">
      <x:c r="A213" s="78"/>
      <x:c r="B213" s="80"/>
      <x:c r="C213" s="235" t="s">
        <x:v>332</x:v>
      </x:c>
      <x:c r="D213" s="250"/>
      <x:c r="E213" s="250"/>
      <x:c r="F213" s="251" t="s">
        <x:v>397</x:v>
      </x:c>
      <x:c r="G213" s="252" t="s">
        <x:v>398</x:v>
      </x:c>
      <x:c r="H213" s="251">
        <x:v>1</x:v>
      </x:c>
      <x:c r="I213" s="235" t="s">
        <x:v>396</x:v>
      </x:c>
      <x:c r="J213" s="1171">
        <x:f t="shared" ref="J213:U213" si="78">+$I$157*J136</x:f>
        <x:v>6268.5188205981212</x:v>
      </x:c>
      <x:c r="K213" s="1171">
        <x:f t="shared" si="78"/>
        <x:v>6268.5188205981212</x:v>
      </x:c>
      <x:c r="L213" s="1171">
        <x:f t="shared" si="78"/>
        <x:v>6268.5188205981212</x:v>
      </x:c>
      <x:c r="M213" s="1171">
        <x:f t="shared" si="78"/>
        <x:v>6268.5188205981212</x:v>
      </x:c>
      <x:c r="N213" s="1171">
        <x:f t="shared" si="78"/>
        <x:v>6268.5188205981212</x:v>
      </x:c>
      <x:c r="O213" s="1171">
        <x:f t="shared" si="78"/>
        <x:v>6268.5188205981212</x:v>
      </x:c>
      <x:c r="P213" s="1171">
        <x:f t="shared" si="78"/>
        <x:v>6268.5188205981212</x:v>
      </x:c>
      <x:c r="Q213" s="1171">
        <x:f t="shared" si="78"/>
        <x:v>6268.5188205981212</x:v>
      </x:c>
      <x:c r="R213" s="1171">
        <x:f t="shared" si="78"/>
        <x:v>6268.5188205981212</x:v>
      </x:c>
      <x:c r="S213" s="1171">
        <x:f t="shared" si="78"/>
        <x:v>6268.5188205981212</x:v>
      </x:c>
      <x:c r="T213" s="1171">
        <x:f t="shared" si="78"/>
        <x:v>6268.5188205981212</x:v>
      </x:c>
      <x:c r="U213" s="1171">
        <x:f t="shared" si="78"/>
        <x:v>6268.5188205981212</x:v>
      </x:c>
      <x:c r="V213" s="114"/>
      <x:c r="W213" s="280"/>
    </x:row>
    <x:row r="214" spans="1:23" s="48" customFormat="1" ht="13.5">
      <x:c r="A214" s="76"/>
      <x:c r="B214" s="81"/>
      <x:c r="C214" s="235" t="s">
        <x:v>332</x:v>
      </x:c>
      <x:c r="D214" s="235"/>
      <x:c r="E214" s="247"/>
      <x:c r="F214" s="248" t="s">
        <x:v>399</x:v>
      </x:c>
      <x:c r="G214" s="236" t="s">
        <x:v>400</x:v>
      </x:c>
      <x:c r="H214" s="249">
        <x:v>1</x:v>
      </x:c>
      <x:c r="I214" s="235" t="s">
        <x:v>396</x:v>
      </x:c>
      <x:c r="J214" s="1171">
        <x:f t="shared" ref="J214:U214" si="79">+$I$157*J137</x:f>
        <x:v>875.16</x:v>
      </x:c>
      <x:c r="K214" s="1171">
        <x:f t="shared" si="79"/>
        <x:v>875.16</x:v>
      </x:c>
      <x:c r="L214" s="1171">
        <x:f t="shared" si="79"/>
        <x:v>875.16</x:v>
      </x:c>
      <x:c r="M214" s="1171">
        <x:f t="shared" si="79"/>
        <x:v>875.16</x:v>
      </x:c>
      <x:c r="N214" s="1171">
        <x:f t="shared" si="79"/>
        <x:v>875.16</x:v>
      </x:c>
      <x:c r="O214" s="1171">
        <x:f t="shared" si="79"/>
        <x:v>875.16</x:v>
      </x:c>
      <x:c r="P214" s="1171">
        <x:f t="shared" si="79"/>
        <x:v>875.16</x:v>
      </x:c>
      <x:c r="Q214" s="1171">
        <x:f t="shared" si="79"/>
        <x:v>875.16</x:v>
      </x:c>
      <x:c r="R214" s="1171">
        <x:f t="shared" si="79"/>
        <x:v>875.16</x:v>
      </x:c>
      <x:c r="S214" s="1171">
        <x:f t="shared" si="79"/>
        <x:v>875.16</x:v>
      </x:c>
      <x:c r="T214" s="1171">
        <x:f t="shared" si="79"/>
        <x:v>875.16</x:v>
      </x:c>
      <x:c r="U214" s="1171">
        <x:f t="shared" si="79"/>
        <x:v>875.16</x:v>
      </x:c>
      <x:c r="V214" s="114"/>
      <x:c r="W214" s="1061"/>
    </x:row>
    <x:row r="215" spans="1:23" s="48" customFormat="1" ht="13.5">
      <x:c r="A215" s="76"/>
      <x:c r="B215" s="80"/>
      <x:c r="C215" s="235" t="s">
        <x:v>332</x:v>
      </x:c>
      <x:c r="D215" s="235"/>
      <x:c r="E215" s="247"/>
      <x:c r="F215" s="248" t="s">
        <x:v>401</x:v>
      </x:c>
      <x:c r="G215" s="236" t="s">
        <x:v>402</x:v>
      </x:c>
      <x:c r="H215" s="249">
        <x:v>2</x:v>
      </x:c>
      <x:c r="I215" s="235" t="s">
        <x:v>396</x:v>
      </x:c>
      <x:c r="J215" s="1171">
        <x:f t="shared" ref="J215:U215" si="80">+$I$157*J138</x:f>
        <x:v>522.75</x:v>
      </x:c>
      <x:c r="K215" s="1171">
        <x:f t="shared" si="80"/>
        <x:v>522.75</x:v>
      </x:c>
      <x:c r="L215" s="1171">
        <x:f t="shared" si="80"/>
        <x:v>522.75</x:v>
      </x:c>
      <x:c r="M215" s="1171">
        <x:f t="shared" si="80"/>
        <x:v>522.75</x:v>
      </x:c>
      <x:c r="N215" s="1171">
        <x:f t="shared" si="80"/>
        <x:v>522.75</x:v>
      </x:c>
      <x:c r="O215" s="1171">
        <x:f t="shared" si="80"/>
        <x:v>522.75</x:v>
      </x:c>
      <x:c r="P215" s="1171">
        <x:f t="shared" si="80"/>
        <x:v>522.75</x:v>
      </x:c>
      <x:c r="Q215" s="1171">
        <x:f t="shared" si="80"/>
        <x:v>522.75</x:v>
      </x:c>
      <x:c r="R215" s="1171">
        <x:f t="shared" si="80"/>
        <x:v>522.75</x:v>
      </x:c>
      <x:c r="S215" s="1171">
        <x:f t="shared" si="80"/>
        <x:v>522.75</x:v>
      </x:c>
      <x:c r="T215" s="1171">
        <x:f t="shared" si="80"/>
        <x:v>522.75</x:v>
      </x:c>
      <x:c r="U215" s="1171">
        <x:f t="shared" si="80"/>
        <x:v>522.75</x:v>
      </x:c>
      <x:c r="V215" s="114"/>
      <x:c r="W215" s="1061"/>
    </x:row>
    <x:row r="216" spans="1:23" s="48" customFormat="1" ht="13.5">
      <x:c r="A216" s="76"/>
      <x:c r="B216" s="80"/>
      <x:c r="C216" s="235" t="s">
        <x:v>332</x:v>
      </x:c>
      <x:c r="D216" s="256"/>
      <x:c r="E216" s="256"/>
      <x:c r="F216" s="256" t="s">
        <x:v>403</x:v>
      </x:c>
      <x:c r="G216" s="257" t="s">
        <x:v>404</x:v>
      </x:c>
      <x:c r="H216" s="256">
        <x:v>1</x:v>
      </x:c>
      <x:c r="I216" s="235" t="s">
        <x:v>396</x:v>
      </x:c>
      <x:c r="J216" s="1171">
        <x:f t="shared" ref="J216:U216" si="81">+$I$157*J139</x:f>
        <x:v>1612.6200000000001</x:v>
      </x:c>
      <x:c r="K216" s="1171">
        <x:f t="shared" si="81"/>
        <x:v>1612.6200000000001</x:v>
      </x:c>
      <x:c r="L216" s="1171">
        <x:f t="shared" si="81"/>
        <x:v>1612.6200000000001</x:v>
      </x:c>
      <x:c r="M216" s="1171">
        <x:f t="shared" si="81"/>
        <x:v>1612.6200000000001</x:v>
      </x:c>
      <x:c r="N216" s="1171">
        <x:f t="shared" si="81"/>
        <x:v>1612.6200000000001</x:v>
      </x:c>
      <x:c r="O216" s="1171">
        <x:f t="shared" si="81"/>
        <x:v>1612.6200000000001</x:v>
      </x:c>
      <x:c r="P216" s="1171">
        <x:f t="shared" si="81"/>
        <x:v>1612.6200000000001</x:v>
      </x:c>
      <x:c r="Q216" s="1171">
        <x:f t="shared" si="81"/>
        <x:v>1612.6200000000001</x:v>
      </x:c>
      <x:c r="R216" s="1171">
        <x:f t="shared" si="81"/>
        <x:v>1612.6200000000001</x:v>
      </x:c>
      <x:c r="S216" s="1171">
        <x:f t="shared" si="81"/>
        <x:v>1612.6200000000001</x:v>
      </x:c>
      <x:c r="T216" s="1171">
        <x:f t="shared" si="81"/>
        <x:v>1612.6200000000001</x:v>
      </x:c>
      <x:c r="U216" s="1171">
        <x:f t="shared" si="81"/>
        <x:v>1612.6200000000001</x:v>
      </x:c>
      <x:c r="V216" s="114"/>
      <x:c r="W216" s="1062"/>
    </x:row>
    <x:row r="217" spans="1:23">
      <x:c r="A217" s="78"/>
      <x:c r="B217" s="80"/>
      <x:c r="C217" s="240" t="s">
        <x:v>332</x:v>
      </x:c>
      <x:c r="D217" s="250"/>
      <x:c r="E217" s="250"/>
      <x:c r="F217" s="251" t="s">
        <x:v>405</x:v>
      </x:c>
      <x:c r="G217" s="252" t="s">
        <x:v>406</x:v>
      </x:c>
      <x:c r="H217" s="251">
        <x:v>1</x:v>
      </x:c>
      <x:c r="I217" s="235" t="s">
        <x:v>396</x:v>
      </x:c>
      <x:c r="J217" s="1171">
        <x:f t="shared" ref="J217:U217" si="82">+$I$157*J140</x:f>
        <x:v>656.88</x:v>
      </x:c>
      <x:c r="K217" s="1171">
        <x:f t="shared" si="82"/>
        <x:v>656.88</x:v>
      </x:c>
      <x:c r="L217" s="1171">
        <x:f t="shared" si="82"/>
        <x:v>656.88</x:v>
      </x:c>
      <x:c r="M217" s="1171">
        <x:f t="shared" si="82"/>
        <x:v>656.88</x:v>
      </x:c>
      <x:c r="N217" s="1171">
        <x:f t="shared" si="82"/>
        <x:v>656.88</x:v>
      </x:c>
      <x:c r="O217" s="1171">
        <x:f t="shared" si="82"/>
        <x:v>656.88</x:v>
      </x:c>
      <x:c r="P217" s="1171">
        <x:f t="shared" si="82"/>
        <x:v>656.88</x:v>
      </x:c>
      <x:c r="Q217" s="1171">
        <x:f t="shared" si="82"/>
        <x:v>656.88</x:v>
      </x:c>
      <x:c r="R217" s="1171">
        <x:f t="shared" si="82"/>
        <x:v>656.88</x:v>
      </x:c>
      <x:c r="S217" s="1171">
        <x:f t="shared" si="82"/>
        <x:v>656.88</x:v>
      </x:c>
      <x:c r="T217" s="1171">
        <x:f t="shared" si="82"/>
        <x:v>656.88</x:v>
      </x:c>
      <x:c r="U217" s="1171">
        <x:f t="shared" si="82"/>
        <x:v>656.88</x:v>
      </x:c>
      <x:c r="V217" s="114"/>
      <x:c r="W217" s="1063"/>
    </x:row>
    <x:row r="218" spans="1:23">
      <x:c r="A218" s="78"/>
      <x:c r="B218" s="80"/>
      <x:c r="C218" s="235" t="s">
        <x:v>332</x:v>
      </x:c>
      <x:c r="D218" s="250"/>
      <x:c r="E218" s="250"/>
      <x:c r="F218" s="251" t="s">
        <x:v>407</x:v>
      </x:c>
      <x:c r="G218" s="252" t="s">
        <x:v>408</x:v>
      </x:c>
      <x:c r="H218" s="251">
        <x:v>1</x:v>
      </x:c>
      <x:c r="I218" s="235" t="s">
        <x:v>396</x:v>
      </x:c>
      <x:c r="J218" s="1171">
        <x:f t="shared" ref="J218:U218" si="83">+$I$157*J141</x:f>
        <x:v>1341.3</x:v>
      </x:c>
      <x:c r="K218" s="1171">
        <x:f t="shared" si="83"/>
        <x:v>1341.3</x:v>
      </x:c>
      <x:c r="L218" s="1171">
        <x:f t="shared" si="83"/>
        <x:v>1341.3</x:v>
      </x:c>
      <x:c r="M218" s="1171">
        <x:f t="shared" si="83"/>
        <x:v>1341.3</x:v>
      </x:c>
      <x:c r="N218" s="1171">
        <x:f t="shared" si="83"/>
        <x:v>1341.3</x:v>
      </x:c>
      <x:c r="O218" s="1171">
        <x:f t="shared" si="83"/>
        <x:v>1341.3</x:v>
      </x:c>
      <x:c r="P218" s="1171">
        <x:f t="shared" si="83"/>
        <x:v>1341.3</x:v>
      </x:c>
      <x:c r="Q218" s="1171">
        <x:f t="shared" si="83"/>
        <x:v>1341.3</x:v>
      </x:c>
      <x:c r="R218" s="1171">
        <x:f t="shared" si="83"/>
        <x:v>1341.3</x:v>
      </x:c>
      <x:c r="S218" s="1171">
        <x:f t="shared" si="83"/>
        <x:v>1341.3</x:v>
      </x:c>
      <x:c r="T218" s="1171">
        <x:f t="shared" si="83"/>
        <x:v>1341.3</x:v>
      </x:c>
      <x:c r="U218" s="1171">
        <x:f t="shared" si="83"/>
        <x:v>1341.3</x:v>
      </x:c>
      <x:c r="V218" s="114"/>
      <x:c r="W218" s="1063"/>
    </x:row>
    <x:row r="219" spans="1:23">
      <x:c r="A219" s="78"/>
      <x:c r="B219" s="80"/>
      <x:c r="C219" s="240" t="s">
        <x:v>332</x:v>
      </x:c>
      <x:c r="D219" s="259"/>
      <x:c r="E219" s="259"/>
      <x:c r="F219" s="253" t="s">
        <x:v>409</x:v>
      </x:c>
      <x:c r="G219" s="260" t="s">
        <x:v>410</x:v>
      </x:c>
      <x:c r="H219" s="253">
        <x:v>1</x:v>
      </x:c>
      <x:c r="I219" s="240" t="s">
        <x:v>396</x:v>
      </x:c>
      <x:c r="J219" s="1171">
        <x:f t="shared" ref="J219:U219" si="84">+$I$157*J142</x:f>
        <x:v>1012.86</x:v>
      </x:c>
      <x:c r="K219" s="1171">
        <x:f t="shared" si="84"/>
        <x:v>1012.86</x:v>
      </x:c>
      <x:c r="L219" s="1171">
        <x:f t="shared" si="84"/>
        <x:v>1012.86</x:v>
      </x:c>
      <x:c r="M219" s="1171">
        <x:f t="shared" si="84"/>
        <x:v>1012.86</x:v>
      </x:c>
      <x:c r="N219" s="1171">
        <x:f t="shared" si="84"/>
        <x:v>1012.86</x:v>
      </x:c>
      <x:c r="O219" s="1171">
        <x:f t="shared" si="84"/>
        <x:v>1012.86</x:v>
      </x:c>
      <x:c r="P219" s="1171">
        <x:f t="shared" si="84"/>
        <x:v>1012.86</x:v>
      </x:c>
      <x:c r="Q219" s="1171">
        <x:f t="shared" si="84"/>
        <x:v>1012.86</x:v>
      </x:c>
      <x:c r="R219" s="1171">
        <x:f t="shared" si="84"/>
        <x:v>1012.86</x:v>
      </x:c>
      <x:c r="S219" s="1171">
        <x:f t="shared" si="84"/>
        <x:v>1012.86</x:v>
      </x:c>
      <x:c r="T219" s="1171">
        <x:f t="shared" si="84"/>
        <x:v>1012.86</x:v>
      </x:c>
      <x:c r="U219" s="1171">
        <x:f t="shared" si="84"/>
        <x:v>1012.86</x:v>
      </x:c>
      <x:c r="V219" s="114"/>
      <x:c r="W219" s="280"/>
    </x:row>
    <x:row r="220" spans="1:23">
      <x:c r="A220" s="78"/>
      <x:c r="B220" s="80"/>
      <x:c r="C220" s="235" t="s">
        <x:v>332</x:v>
      </x:c>
      <x:c r="D220" s="250"/>
      <x:c r="E220" s="250"/>
      <x:c r="F220" s="251" t="s">
        <x:v>353</x:v>
      </x:c>
      <x:c r="G220" s="252" t="s">
        <x:v>411</x:v>
      </x:c>
      <x:c r="H220" s="251">
        <x:v>3</x:v>
      </x:c>
      <x:c r="I220" s="251" t="s">
        <x:v>1089</x:v>
      </x:c>
      <x:c r="J220" s="1171">
        <x:f t="shared" ref="J220:U220" si="85">+$I$157*J143</x:f>
        <x:v>797.96924456037175</x:v>
      </x:c>
      <x:c r="K220" s="1171">
        <x:f t="shared" si="85"/>
        <x:v>797.96924456037175</x:v>
      </x:c>
      <x:c r="L220" s="1171">
        <x:f t="shared" si="85"/>
        <x:v>797.96924456037175</x:v>
      </x:c>
      <x:c r="M220" s="1171">
        <x:f t="shared" si="85"/>
        <x:v>797.96924456037175</x:v>
      </x:c>
      <x:c r="N220" s="1171">
        <x:f t="shared" si="85"/>
        <x:v>797.96924456037175</x:v>
      </x:c>
      <x:c r="O220" s="1171">
        <x:f t="shared" si="85"/>
        <x:v>797.96924456037175</x:v>
      </x:c>
      <x:c r="P220" s="1171">
        <x:f t="shared" si="85"/>
        <x:v>797.96924456037175</x:v>
      </x:c>
      <x:c r="Q220" s="1171">
        <x:f t="shared" si="85"/>
        <x:v>797.96924456037175</x:v>
      </x:c>
      <x:c r="R220" s="1171">
        <x:f t="shared" si="85"/>
        <x:v>797.96924456037175</x:v>
      </x:c>
      <x:c r="S220" s="1171">
        <x:f t="shared" si="85"/>
        <x:v>797.96924456037175</x:v>
      </x:c>
      <x:c r="T220" s="1171">
        <x:f t="shared" si="85"/>
        <x:v>797.96924456037175</x:v>
      </x:c>
      <x:c r="U220" s="1171">
        <x:f t="shared" si="85"/>
        <x:v>797.96924456037175</x:v>
      </x:c>
      <x:c r="V220" s="114"/>
      <x:c r="W220" s="280"/>
    </x:row>
    <x:row r="221" spans="1:23" s="48" customFormat="1" ht="13.5">
      <x:c r="A221" s="78"/>
      <x:c r="B221" s="80"/>
      <x:c r="C221" s="240" t="s">
        <x:v>332</x:v>
      </x:c>
      <x:c r="D221" s="250"/>
      <x:c r="E221" s="250"/>
      <x:c r="F221" s="251" t="s">
        <x:v>412</x:v>
      </x:c>
      <x:c r="G221" s="252" t="s">
        <x:v>413</x:v>
      </x:c>
      <x:c r="H221" s="251">
        <x:v>1</x:v>
      </x:c>
      <x:c r="I221" s="251" t="s">
        <x:v>1089</x:v>
      </x:c>
      <x:c r="J221" s="1171">
        <x:f t="shared" ref="J221:U221" si="86">+$I$157*J144</x:f>
        <x:v>1085.6775965031338</x:v>
      </x:c>
      <x:c r="K221" s="1171">
        <x:f t="shared" si="86"/>
        <x:v>1085.6775965031338</x:v>
      </x:c>
      <x:c r="L221" s="1171">
        <x:f t="shared" si="86"/>
        <x:v>1085.6775965031338</x:v>
      </x:c>
      <x:c r="M221" s="1171">
        <x:f t="shared" si="86"/>
        <x:v>1085.6775965031338</x:v>
      </x:c>
      <x:c r="N221" s="1171">
        <x:f t="shared" si="86"/>
        <x:v>1085.6775965031338</x:v>
      </x:c>
      <x:c r="O221" s="1171">
        <x:f t="shared" si="86"/>
        <x:v>1085.6775965031338</x:v>
      </x:c>
      <x:c r="P221" s="1171">
        <x:f t="shared" si="86"/>
        <x:v>1085.6775965031338</x:v>
      </x:c>
      <x:c r="Q221" s="1171">
        <x:f t="shared" si="86"/>
        <x:v>1085.6775965031338</x:v>
      </x:c>
      <x:c r="R221" s="1171">
        <x:f t="shared" si="86"/>
        <x:v>1085.6775965031338</x:v>
      </x:c>
      <x:c r="S221" s="1171">
        <x:f t="shared" si="86"/>
        <x:v>1085.6775965031338</x:v>
      </x:c>
      <x:c r="T221" s="1171">
        <x:f t="shared" si="86"/>
        <x:v>1085.6775965031338</x:v>
      </x:c>
      <x:c r="U221" s="1171">
        <x:f t="shared" si="86"/>
        <x:v>1085.6775965031338</x:v>
      </x:c>
      <x:c r="V221" s="114"/>
      <x:c r="W221" s="280"/>
    </x:row>
    <x:row r="222" spans="1:23" s="48" customFormat="1" ht="13.5">
      <x:c r="A222" s="78"/>
      <x:c r="B222" s="80"/>
      <x:c r="C222" s="235" t="s">
        <x:v>332</x:v>
      </x:c>
      <x:c r="D222" s="250"/>
      <x:c r="E222" s="250"/>
      <x:c r="F222" s="251" t="s">
        <x:v>358</x:v>
      </x:c>
      <x:c r="G222" s="252" t="s">
        <x:v>414</x:v>
      </x:c>
      <x:c r="H222" s="253">
        <x:v>1</x:v>
      </x:c>
      <x:c r="I222" s="251" t="s">
        <x:v>1089</x:v>
      </x:c>
      <x:c r="J222" s="1171">
        <x:f t="shared" ref="J222:U222" si="87">+$I$157*J145</x:f>
        <x:v>1006.5394184963226</x:v>
      </x:c>
      <x:c r="K222" s="1171">
        <x:f t="shared" si="87"/>
        <x:v>1006.5394184963226</x:v>
      </x:c>
      <x:c r="L222" s="1171">
        <x:f t="shared" si="87"/>
        <x:v>1006.5394184963226</x:v>
      </x:c>
      <x:c r="M222" s="1171">
        <x:f t="shared" si="87"/>
        <x:v>1006.5394184963226</x:v>
      </x:c>
      <x:c r="N222" s="1171">
        <x:f t="shared" si="87"/>
        <x:v>1006.5394184963226</x:v>
      </x:c>
      <x:c r="O222" s="1171">
        <x:f t="shared" si="87"/>
        <x:v>1006.5394184963226</x:v>
      </x:c>
      <x:c r="P222" s="1171">
        <x:f t="shared" si="87"/>
        <x:v>1006.5394184963226</x:v>
      </x:c>
      <x:c r="Q222" s="1171">
        <x:f t="shared" si="87"/>
        <x:v>1006.5394184963226</x:v>
      </x:c>
      <x:c r="R222" s="1171">
        <x:f t="shared" si="87"/>
        <x:v>1006.5394184963226</x:v>
      </x:c>
      <x:c r="S222" s="1171">
        <x:f t="shared" si="87"/>
        <x:v>1006.5394184963226</x:v>
      </x:c>
      <x:c r="T222" s="1171">
        <x:f t="shared" si="87"/>
        <x:v>1006.5394184963226</x:v>
      </x:c>
      <x:c r="U222" s="1171">
        <x:f t="shared" si="87"/>
        <x:v>1006.5394184963226</x:v>
      </x:c>
      <x:c r="V222" s="114"/>
      <x:c r="W222" s="280"/>
    </x:row>
    <x:row r="223" spans="1:23" s="48" customFormat="1" ht="13.5">
      <x:c r="A223" s="78"/>
      <x:c r="B223" s="80"/>
      <x:c r="C223" s="240" t="s">
        <x:v>332</x:v>
      </x:c>
      <x:c r="D223" s="250"/>
      <x:c r="E223" s="250"/>
      <x:c r="F223" s="251" t="s">
        <x:v>415</x:v>
      </x:c>
      <x:c r="G223" s="252" t="s">
        <x:v>416</x:v>
      </x:c>
      <x:c r="H223" s="251">
        <x:v>1</x:v>
      </x:c>
      <x:c r="I223" s="251" t="s">
        <x:v>1089</x:v>
      </x:c>
      <x:c r="J223" s="1171">
        <x:f t="shared" ref="J223:U223" si="88">+$I$157*J146</x:f>
        <x:v>1070.8999471343038</x:v>
      </x:c>
      <x:c r="K223" s="1171">
        <x:f t="shared" si="88"/>
        <x:v>1070.8999471343038</x:v>
      </x:c>
      <x:c r="L223" s="1171">
        <x:f t="shared" si="88"/>
        <x:v>1070.8999471343038</x:v>
      </x:c>
      <x:c r="M223" s="1171">
        <x:f t="shared" si="88"/>
        <x:v>1070.8999471343038</x:v>
      </x:c>
      <x:c r="N223" s="1171">
        <x:f t="shared" si="88"/>
        <x:v>1070.8999471343038</x:v>
      </x:c>
      <x:c r="O223" s="1171">
        <x:f t="shared" si="88"/>
        <x:v>1070.8999471343038</x:v>
      </x:c>
      <x:c r="P223" s="1171">
        <x:f t="shared" si="88"/>
        <x:v>1070.8999471343038</x:v>
      </x:c>
      <x:c r="Q223" s="1171">
        <x:f t="shared" si="88"/>
        <x:v>1070.8999471343038</x:v>
      </x:c>
      <x:c r="R223" s="1171">
        <x:f t="shared" si="88"/>
        <x:v>1070.8999471343038</x:v>
      </x:c>
      <x:c r="S223" s="1171">
        <x:f t="shared" si="88"/>
        <x:v>1070.8999471343038</x:v>
      </x:c>
      <x:c r="T223" s="1171">
        <x:f t="shared" si="88"/>
        <x:v>1070.8999471343038</x:v>
      </x:c>
      <x:c r="U223" s="1171">
        <x:f t="shared" si="88"/>
        <x:v>1070.8999471343038</x:v>
      </x:c>
      <x:c r="V223" s="114"/>
      <x:c r="W223" s="280"/>
    </x:row>
    <x:row r="224" spans="1:23" s="48" customFormat="1" ht="13.5">
      <x:c r="A224" s="78"/>
      <x:c r="B224" s="80"/>
      <x:c r="C224" s="240" t="s">
        <x:v>332</x:v>
      </x:c>
      <x:c r="D224" s="259"/>
      <x:c r="E224" s="259"/>
      <x:c r="F224" s="253" t="s">
        <x:v>417</x:v>
      </x:c>
      <x:c r="G224" s="260" t="s">
        <x:v>418</x:v>
      </x:c>
      <x:c r="H224" s="253">
        <x:v>1</x:v>
      </x:c>
      <x:c r="I224" s="240" t="s">
        <x:v>396</x:v>
      </x:c>
      <x:c r="J224" s="1171">
        <x:f t="shared" ref="J224:U224" si="89">+$I$157*J147</x:f>
        <x:v>1347.9204677494508</x:v>
      </x:c>
      <x:c r="K224" s="1171">
        <x:f t="shared" si="89"/>
        <x:v>1347.9204677494508</x:v>
      </x:c>
      <x:c r="L224" s="1171">
        <x:f t="shared" si="89"/>
        <x:v>1347.9204677494508</x:v>
      </x:c>
      <x:c r="M224" s="1171">
        <x:f t="shared" si="89"/>
        <x:v>1347.9204677494508</x:v>
      </x:c>
      <x:c r="N224" s="1171">
        <x:f t="shared" si="89"/>
        <x:v>1347.9204677494508</x:v>
      </x:c>
      <x:c r="O224" s="1171">
        <x:f t="shared" si="89"/>
        <x:v>1347.9204677494508</x:v>
      </x:c>
      <x:c r="P224" s="1171">
        <x:f t="shared" si="89"/>
        <x:v>1347.9204677494508</x:v>
      </x:c>
      <x:c r="Q224" s="1171">
        <x:f t="shared" si="89"/>
        <x:v>1347.9204677494508</x:v>
      </x:c>
      <x:c r="R224" s="1171">
        <x:f t="shared" si="89"/>
        <x:v>1347.9204677494508</x:v>
      </x:c>
      <x:c r="S224" s="1171">
        <x:f t="shared" si="89"/>
        <x:v>1347.9204677494508</x:v>
      </x:c>
      <x:c r="T224" s="1171">
        <x:f t="shared" si="89"/>
        <x:v>1347.9204677494508</x:v>
      </x:c>
      <x:c r="U224" s="1171">
        <x:f t="shared" si="89"/>
        <x:v>1347.9204677494508</x:v>
      </x:c>
      <x:c r="V224" s="113"/>
      <x:c r="W224" s="280"/>
    </x:row>
    <x:row r="225" spans="1:24" s="48" customFormat="1" ht="13.5">
      <x:c r="A225" s="258"/>
      <x:c r="B225" s="1218" t="s">
        <x:v>1046</x:v>
      </x:c>
      <x:c r="C225" s="235"/>
      <x:c r="D225" s="235" t="s">
        <x:v>332</x:v>
      </x:c>
      <x:c r="E225" s="250"/>
      <x:c r="F225" s="251" t="s">
        <x:v>1047</x:v>
      </x:c>
      <x:c r="G225" s="252" t="s">
        <x:v>386</x:v>
      </x:c>
      <x:c r="H225" s="251">
        <x:v>1</x:v>
      </x:c>
      <x:c r="I225" s="251" t="s">
        <x:v>1089</x:v>
      </x:c>
      <x:c r="J225" s="288">
        <x:f>+$I$157*J148</x:f>
        <x:v>51.756177000000008</x:v>
      </x:c>
      <x:c r="K225" s="288">
        <x:f t="shared" ref="K225:U225" si="90">+$I$157*K148</x:f>
        <x:v>51.756177000000008</x:v>
      </x:c>
      <x:c r="L225" s="288">
        <x:f t="shared" si="90"/>
        <x:v>51.756177000000008</x:v>
      </x:c>
      <x:c r="M225" s="288">
        <x:f t="shared" si="90"/>
        <x:v>51.756177000000008</x:v>
      </x:c>
      <x:c r="N225" s="288">
        <x:f t="shared" si="90"/>
        <x:v>51.756177000000008</x:v>
      </x:c>
      <x:c r="O225" s="288">
        <x:f t="shared" si="90"/>
        <x:v>51.756177000000008</x:v>
      </x:c>
      <x:c r="P225" s="288">
        <x:f t="shared" si="90"/>
        <x:v>51.756177000000008</x:v>
      </x:c>
      <x:c r="Q225" s="288">
        <x:f t="shared" si="90"/>
        <x:v>51.756177000000008</x:v>
      </x:c>
      <x:c r="R225" s="288">
        <x:f t="shared" si="90"/>
        <x:v>51.756177000000008</x:v>
      </x:c>
      <x:c r="S225" s="288">
        <x:f t="shared" si="90"/>
        <x:v>51.756177000000008</x:v>
      </x:c>
      <x:c r="T225" s="288">
        <x:f t="shared" si="90"/>
        <x:v>51.756177000000008</x:v>
      </x:c>
      <x:c r="U225" s="288">
        <x:f t="shared" si="90"/>
        <x:v>51.756177000000008</x:v>
      </x:c>
      <x:c r="V225" s="65"/>
      <x:c r="W225" s="1063"/>
    </x:row>
    <x:row r="226" spans="1:24" s="48" customFormat="1" ht="13.5">
      <x:c r="A226" s="258"/>
      <x:c r="B226" s="1219"/>
      <x:c r="C226" s="235"/>
      <x:c r="D226" s="235" t="s">
        <x:v>332</x:v>
      </x:c>
      <x:c r="E226" s="250"/>
      <x:c r="F226" s="263" t="s">
        <x:v>1048</x:v>
      </x:c>
      <x:c r="G226" s="252" t="s">
        <x:v>390</x:v>
      </x:c>
      <x:c r="H226" s="251">
        <x:v>1</x:v>
      </x:c>
      <x:c r="I226" s="251" t="s">
        <x:v>1089</x:v>
      </x:c>
      <x:c r="J226" s="288">
        <x:f t="shared" ref="J226:U226" si="91">+$I$157*J149</x:f>
        <x:v>60.133029000000008</x:v>
      </x:c>
      <x:c r="K226" s="288">
        <x:f t="shared" si="91"/>
        <x:v>60.133029000000008</x:v>
      </x:c>
      <x:c r="L226" s="288">
        <x:f t="shared" si="91"/>
        <x:v>60.133029000000008</x:v>
      </x:c>
      <x:c r="M226" s="288">
        <x:f t="shared" si="91"/>
        <x:v>60.133029000000008</x:v>
      </x:c>
      <x:c r="N226" s="288">
        <x:f t="shared" si="91"/>
        <x:v>60.133029000000008</x:v>
      </x:c>
      <x:c r="O226" s="288">
        <x:f t="shared" si="91"/>
        <x:v>60.133029000000008</x:v>
      </x:c>
      <x:c r="P226" s="288">
        <x:f t="shared" si="91"/>
        <x:v>60.133029000000008</x:v>
      </x:c>
      <x:c r="Q226" s="288">
        <x:f t="shared" si="91"/>
        <x:v>60.133029000000008</x:v>
      </x:c>
      <x:c r="R226" s="288">
        <x:f t="shared" si="91"/>
        <x:v>60.133029000000008</x:v>
      </x:c>
      <x:c r="S226" s="288">
        <x:f t="shared" si="91"/>
        <x:v>60.133029000000008</x:v>
      </x:c>
      <x:c r="T226" s="288">
        <x:f t="shared" si="91"/>
        <x:v>60.133029000000008</x:v>
      </x:c>
      <x:c r="U226" s="288">
        <x:f t="shared" si="91"/>
        <x:v>60.133029000000008</x:v>
      </x:c>
      <x:c r="V226" s="65"/>
      <x:c r="W226" s="1063"/>
    </x:row>
    <x:row r="227" spans="1:24" s="48" customFormat="1" ht="13.5">
      <x:c r="A227" s="258"/>
      <x:c r="B227" s="1219"/>
      <x:c r="C227" s="235"/>
      <x:c r="D227" s="235" t="s">
        <x:v>332</x:v>
      </x:c>
      <x:c r="E227" s="250"/>
      <x:c r="F227" s="251" t="s">
        <x:v>1049</x:v>
      </x:c>
      <x:c r="G227" s="252" t="s">
        <x:v>1050</x:v>
      </x:c>
      <x:c r="H227" s="251">
        <x:v>2</x:v>
      </x:c>
      <x:c r="I227" s="251" t="s">
        <x:v>1089</x:v>
      </x:c>
      <x:c r="J227" s="288">
        <x:f t="shared" ref="J227:U227" si="92">+$I$157*J150</x:f>
        <x:v>46.317843000000003</x:v>
      </x:c>
      <x:c r="K227" s="288">
        <x:f t="shared" si="92"/>
        <x:v>46.317843000000003</x:v>
      </x:c>
      <x:c r="L227" s="288">
        <x:f t="shared" si="92"/>
        <x:v>46.317843000000003</x:v>
      </x:c>
      <x:c r="M227" s="288">
        <x:f t="shared" si="92"/>
        <x:v>46.317843000000003</x:v>
      </x:c>
      <x:c r="N227" s="288">
        <x:f t="shared" si="92"/>
        <x:v>46.317843000000003</x:v>
      </x:c>
      <x:c r="O227" s="288">
        <x:f t="shared" si="92"/>
        <x:v>46.317843000000003</x:v>
      </x:c>
      <x:c r="P227" s="288">
        <x:f t="shared" si="92"/>
        <x:v>46.317843000000003</x:v>
      </x:c>
      <x:c r="Q227" s="288">
        <x:f t="shared" si="92"/>
        <x:v>46.317843000000003</x:v>
      </x:c>
      <x:c r="R227" s="288">
        <x:f t="shared" si="92"/>
        <x:v>46.317843000000003</x:v>
      </x:c>
      <x:c r="S227" s="288">
        <x:f t="shared" si="92"/>
        <x:v>46.317843000000003</x:v>
      </x:c>
      <x:c r="T227" s="288">
        <x:f t="shared" si="92"/>
        <x:v>46.317843000000003</x:v>
      </x:c>
      <x:c r="U227" s="288">
        <x:f t="shared" si="92"/>
        <x:v>46.317843000000003</x:v>
      </x:c>
      <x:c r="V227" s="65"/>
      <x:c r="W227" s="1063"/>
    </x:row>
    <x:row r="228" spans="1:24" s="48" customFormat="1" ht="13.5">
      <x:c r="A228" s="258"/>
      <x:c r="B228" s="1219"/>
      <x:c r="C228" s="235"/>
      <x:c r="D228" s="235" t="s">
        <x:v>332</x:v>
      </x:c>
      <x:c r="E228" s="250"/>
      <x:c r="F228" s="251" t="s">
        <x:v>1051</x:v>
      </x:c>
      <x:c r="G228" s="252" t="s">
        <x:v>1052</x:v>
      </x:c>
      <x:c r="H228" s="251">
        <x:v>4</x:v>
      </x:c>
      <x:c r="I228" s="251" t="s">
        <x:v>1089</x:v>
      </x:c>
      <x:c r="J228" s="288">
        <x:f t="shared" ref="J228:U228" si="93">+$I$157*J151</x:f>
        <x:v>53.60061593531978</x:v>
      </x:c>
      <x:c r="K228" s="288">
        <x:f t="shared" si="93"/>
        <x:v>53.60061593531978</x:v>
      </x:c>
      <x:c r="L228" s="288">
        <x:f t="shared" si="93"/>
        <x:v>53.60061593531978</x:v>
      </x:c>
      <x:c r="M228" s="288">
        <x:f t="shared" si="93"/>
        <x:v>53.60061593531978</x:v>
      </x:c>
      <x:c r="N228" s="288">
        <x:f t="shared" si="93"/>
        <x:v>53.60061593531978</x:v>
      </x:c>
      <x:c r="O228" s="288">
        <x:f t="shared" si="93"/>
        <x:v>53.600615935319766</x:v>
      </x:c>
      <x:c r="P228" s="288">
        <x:f t="shared" si="93"/>
        <x:v>53.600615935319766</x:v>
      </x:c>
      <x:c r="Q228" s="288">
        <x:f t="shared" si="93"/>
        <x:v>53.600615935319766</x:v>
      </x:c>
      <x:c r="R228" s="288">
        <x:f t="shared" si="93"/>
        <x:v>53.600615935319766</x:v>
      </x:c>
      <x:c r="S228" s="288">
        <x:f t="shared" si="93"/>
        <x:v>53.600615935319766</x:v>
      </x:c>
      <x:c r="T228" s="288">
        <x:f t="shared" si="93"/>
        <x:v>53.600615935319766</x:v>
      </x:c>
      <x:c r="U228" s="288">
        <x:f t="shared" si="93"/>
        <x:v>53.600615935319766</x:v>
      </x:c>
      <x:c r="V228" s="65"/>
      <x:c r="W228" s="1063"/>
    </x:row>
    <x:row r="229" spans="1:24" s="48" customFormat="1" ht="13.5">
      <x:c r="A229" s="258"/>
      <x:c r="B229" s="1219"/>
      <x:c r="C229" s="235"/>
      <x:c r="D229" s="235" t="s">
        <x:v>332</x:v>
      </x:c>
      <x:c r="E229" s="250"/>
      <x:c r="F229" s="251" t="s">
        <x:v>1053</x:v>
      </x:c>
      <x:c r="G229" s="252" t="s">
        <x:v>1054</x:v>
      </x:c>
      <x:c r="H229" s="251">
        <x:v>1</x:v>
      </x:c>
      <x:c r="I229" s="251" t="s">
        <x:v>1089</x:v>
      </x:c>
      <x:c r="J229" s="288">
        <x:f t="shared" ref="J229:U229" si="94">+$I$157*J152</x:f>
        <x:v>32.077258655026526</x:v>
      </x:c>
      <x:c r="K229" s="288">
        <x:f t="shared" si="94"/>
        <x:v>32.077258655026526</x:v>
      </x:c>
      <x:c r="L229" s="288">
        <x:f t="shared" si="94"/>
        <x:v>32.077258655026526</x:v>
      </x:c>
      <x:c r="M229" s="288">
        <x:f t="shared" si="94"/>
        <x:v>32.077258655026526</x:v>
      </x:c>
      <x:c r="N229" s="288">
        <x:f t="shared" si="94"/>
        <x:v>32.077258655026526</x:v>
      </x:c>
      <x:c r="O229" s="288">
        <x:f t="shared" si="94"/>
        <x:v>32.077258655026512</x:v>
      </x:c>
      <x:c r="P229" s="288">
        <x:f t="shared" si="94"/>
        <x:v>32.077258655026512</x:v>
      </x:c>
      <x:c r="Q229" s="288">
        <x:f t="shared" si="94"/>
        <x:v>32.077258655026512</x:v>
      </x:c>
      <x:c r="R229" s="288">
        <x:f t="shared" si="94"/>
        <x:v>32.077258655026512</x:v>
      </x:c>
      <x:c r="S229" s="288">
        <x:f t="shared" si="94"/>
        <x:v>32.077258655026512</x:v>
      </x:c>
      <x:c r="T229" s="288">
        <x:f t="shared" si="94"/>
        <x:v>32.077258655026512</x:v>
      </x:c>
      <x:c r="U229" s="288">
        <x:f t="shared" si="94"/>
        <x:v>32.077258655026512</x:v>
      </x:c>
      <x:c r="V229" s="65"/>
      <x:c r="W229" s="1063"/>
    </x:row>
    <x:row r="230" spans="1:24" s="48" customFormat="1" ht="13.5">
      <x:c r="A230" s="258"/>
      <x:c r="B230" s="1219"/>
      <x:c r="C230" s="235"/>
      <x:c r="D230" s="235" t="s">
        <x:v>332</x:v>
      </x:c>
      <x:c r="E230" s="250"/>
      <x:c r="F230" s="251" t="s">
        <x:v>1055</x:v>
      </x:c>
      <x:c r="G230" s="252" t="s">
        <x:v>1056</x:v>
      </x:c>
      <x:c r="H230" s="251">
        <x:v>2</x:v>
      </x:c>
      <x:c r="I230" s="251" t="s">
        <x:v>1089</x:v>
      </x:c>
      <x:c r="J230" s="288">
        <x:f t="shared" ref="J230:U230" si="95">+$I$157*J153</x:f>
        <x:v>56.779251506999998</x:v>
      </x:c>
      <x:c r="K230" s="288">
        <x:f t="shared" si="95"/>
        <x:v>56.779251506999998</x:v>
      </x:c>
      <x:c r="L230" s="288">
        <x:f t="shared" si="95"/>
        <x:v>56.779251506999998</x:v>
      </x:c>
      <x:c r="M230" s="288">
        <x:f t="shared" si="95"/>
        <x:v>56.779251506999998</x:v>
      </x:c>
      <x:c r="N230" s="288">
        <x:f t="shared" si="95"/>
        <x:v>56.779251506999998</x:v>
      </x:c>
      <x:c r="O230" s="288">
        <x:f t="shared" si="95"/>
        <x:v>56.779251506999998</x:v>
      </x:c>
      <x:c r="P230" s="288">
        <x:f t="shared" si="95"/>
        <x:v>56.779251506999998</x:v>
      </x:c>
      <x:c r="Q230" s="288">
        <x:f t="shared" si="95"/>
        <x:v>56.779251506999998</x:v>
      </x:c>
      <x:c r="R230" s="288">
        <x:f t="shared" si="95"/>
        <x:v>56.779251506999998</x:v>
      </x:c>
      <x:c r="S230" s="288">
        <x:f t="shared" si="95"/>
        <x:v>56.779251506999998</x:v>
      </x:c>
      <x:c r="T230" s="288">
        <x:f t="shared" si="95"/>
        <x:v>56.779251506999998</x:v>
      </x:c>
      <x:c r="U230" s="288">
        <x:f t="shared" si="95"/>
        <x:v>56.779251506999998</x:v>
      </x:c>
      <x:c r="V230" s="65"/>
      <x:c r="W230" s="1063"/>
    </x:row>
    <x:row r="231" spans="1:24" s="48" customFormat="1" ht="13.5">
      <x:c r="A231" s="258"/>
      <x:c r="B231" s="1219"/>
      <x:c r="C231" s="235"/>
      <x:c r="D231" s="235" t="s">
        <x:v>332</x:v>
      </x:c>
      <x:c r="E231" s="250"/>
      <x:c r="F231" s="251" t="s">
        <x:v>1057</x:v>
      </x:c>
      <x:c r="G231" s="252" t="s">
        <x:v>1058</x:v>
      </x:c>
      <x:c r="H231" s="251">
        <x:v>1</x:v>
      </x:c>
      <x:c r="I231" s="251" t="s">
        <x:v>1089</x:v>
      </x:c>
      <x:c r="J231" s="288">
        <x:f t="shared" ref="J231:U231" si="96">+$I$157*J154</x:f>
        <x:v>23.139143694368286</x:v>
      </x:c>
      <x:c r="K231" s="288">
        <x:f t="shared" si="96"/>
        <x:v>23.139143694368286</x:v>
      </x:c>
      <x:c r="L231" s="288">
        <x:f t="shared" si="96"/>
        <x:v>23.139143694368286</x:v>
      </x:c>
      <x:c r="M231" s="288">
        <x:f t="shared" si="96"/>
        <x:v>23.139143694368286</x:v>
      </x:c>
      <x:c r="N231" s="288">
        <x:f t="shared" si="96"/>
        <x:v>23.139143694368286</x:v>
      </x:c>
      <x:c r="O231" s="288">
        <x:f t="shared" si="96"/>
        <x:v>23.139143694368261</x:v>
      </x:c>
      <x:c r="P231" s="288">
        <x:f t="shared" si="96"/>
        <x:v>23.139143694368261</x:v>
      </x:c>
      <x:c r="Q231" s="288">
        <x:f t="shared" si="96"/>
        <x:v>23.139143694368261</x:v>
      </x:c>
      <x:c r="R231" s="288">
        <x:f t="shared" si="96"/>
        <x:v>23.139143694368261</x:v>
      </x:c>
      <x:c r="S231" s="288">
        <x:f t="shared" si="96"/>
        <x:v>23.139143694368261</x:v>
      </x:c>
      <x:c r="T231" s="288">
        <x:f t="shared" si="96"/>
        <x:v>23.139143694368261</x:v>
      </x:c>
      <x:c r="U231" s="288">
        <x:f t="shared" si="96"/>
        <x:v>23.139143694368261</x:v>
      </x:c>
      <x:c r="V231" s="65"/>
      <x:c r="W231" s="1063"/>
    </x:row>
    <x:row r="232" spans="1:24" s="48" customFormat="1" ht="14.25" thickBot="1">
      <x:c r="A232" s="264"/>
      <x:c r="B232" s="1223"/>
      <x:c r="C232" s="82"/>
      <x:c r="D232" s="82" t="s">
        <x:v>332</x:v>
      </x:c>
      <x:c r="E232" s="83"/>
      <x:c r="F232" s="84" t="s">
        <x:v>1059</x:v>
      </x:c>
      <x:c r="G232" s="85" t="s">
        <x:v>1060</x:v>
      </x:c>
      <x:c r="H232" s="84">
        <x:v>1</x:v>
      </x:c>
      <x:c r="I232" s="84" t="s">
        <x:v>1089</x:v>
      </x:c>
      <x:c r="J232" s="119">
        <x:f t="shared" ref="J232:U232" si="97">+$I$157*J155</x:f>
        <x:v>35.442467321919139</x:v>
      </x:c>
      <x:c r="K232" s="119">
        <x:f t="shared" si="97"/>
        <x:v>35.442467321919139</x:v>
      </x:c>
      <x:c r="L232" s="119">
        <x:f t="shared" si="97"/>
        <x:v>35.442467321919139</x:v>
      </x:c>
      <x:c r="M232" s="119">
        <x:f t="shared" si="97"/>
        <x:v>35.442467321919139</x:v>
      </x:c>
      <x:c r="N232" s="119">
        <x:f t="shared" si="97"/>
        <x:v>35.442467321919139</x:v>
      </x:c>
      <x:c r="O232" s="119">
        <x:f t="shared" si="97"/>
        <x:v>35.442467321919125</x:v>
      </x:c>
      <x:c r="P232" s="119">
        <x:f t="shared" si="97"/>
        <x:v>35.442467321919125</x:v>
      </x:c>
      <x:c r="Q232" s="119">
        <x:f t="shared" si="97"/>
        <x:v>35.442467321919125</x:v>
      </x:c>
      <x:c r="R232" s="119">
        <x:f t="shared" si="97"/>
        <x:v>35.442467321919125</x:v>
      </x:c>
      <x:c r="S232" s="119">
        <x:f t="shared" si="97"/>
        <x:v>35.442467321919125</x:v>
      </x:c>
      <x:c r="T232" s="119">
        <x:f t="shared" si="97"/>
        <x:v>35.442467321919125</x:v>
      </x:c>
      <x:c r="U232" s="119">
        <x:f t="shared" si="97"/>
        <x:v>35.442467321919125</x:v>
      </x:c>
      <x:c r="V232" s="87"/>
      <x:c r="W232" s="1064"/>
    </x:row>
    <x:row r="233" spans="1:24" s="48" customFormat="1" ht="18" thickTop="1" thickBot="1">
      <x:c r="A233" s="94"/>
      <x:c r="B233" s="94"/>
      <x:c r="C233" s="94"/>
      <x:c r="D233" s="94"/>
      <x:c r="E233" s="94"/>
      <x:c r="F233" s="95"/>
      <x:c r="G233" s="94"/>
      <x:c r="H233" s="94"/>
      <x:c r="I233" s="94"/>
      <x:c r="J233" s="94"/>
      <x:c r="K233" s="94"/>
      <x:c r="L233" s="94"/>
      <x:c r="M233" s="94"/>
      <x:c r="N233" s="94"/>
      <x:c r="O233" s="94"/>
      <x:c r="P233" s="94"/>
      <x:c r="Q233" s="94"/>
      <x:c r="R233" s="94"/>
      <x:c r="S233" s="94"/>
      <x:c r="T233" s="94"/>
      <x:c r="U233" s="94"/>
      <x:c r="V233" s="94"/>
      <x:c r="W233" s="1069"/>
    </x:row>
    <x:row r="234" spans="1:24" s="48" customFormat="1" ht="18" thickTop="1">
      <x:c r="A234" s="120" t="s">
        <x:v>434</x:v>
      </x:c>
      <x:c r="B234" s="121"/>
      <x:c r="C234" s="121"/>
      <x:c r="D234" s="121"/>
      <x:c r="E234" s="121"/>
      <x:c r="F234" s="122"/>
      <x:c r="G234" s="123" t="s">
        <x:v>431</x:v>
      </x:c>
      <x:c r="H234" s="124"/>
      <x:c r="I234" s="125">
        <x:v>51</x:v>
      </x:c>
      <x:c r="J234" s="121"/>
      <x:c r="K234" s="106" t="s">
        <x:v>1521</x:v>
      </x:c>
      <x:c r="L234" s="1170">
        <x:f>+'Exchange Rate'!$D$13</x:f>
        <x:v>43</x:v>
      </x:c>
      <x:c r="M234" s="121"/>
      <x:c r="N234" s="121"/>
      <x:c r="O234" s="121"/>
      <x:c r="P234" s="121"/>
      <x:c r="Q234" s="121"/>
      <x:c r="R234" s="121"/>
      <x:c r="S234" s="121"/>
      <x:c r="T234" s="121"/>
      <x:c r="U234" s="121"/>
      <x:c r="V234" s="121"/>
      <x:c r="W234" s="1070" t="s">
        <x:v>432</x:v>
      </x:c>
    </x:row>
    <x:row r="235" spans="1:24" s="48" customFormat="1" ht="13.5">
      <x:c r="A235" s="1240" t="s">
        <x:v>421</x:v>
      </x:c>
      <x:c r="B235" s="1234" t="s">
        <x:v>309</x:v>
      </x:c>
      <x:c r="C235" s="1241" t="s">
        <x:v>422</x:v>
      </x:c>
      <x:c r="D235" s="1241"/>
      <x:c r="E235" s="1241"/>
      <x:c r="F235" s="1242" t="s">
        <x:v>423</x:v>
      </x:c>
      <x:c r="G235" s="1234" t="s">
        <x:v>424</x:v>
      </x:c>
      <x:c r="H235" s="1234" t="s">
        <x:v>425</x:v>
      </x:c>
      <x:c r="I235" s="1234" t="s">
        <x:v>426</x:v>
      </x:c>
      <x:c r="J235" s="1235" t="s">
        <x:v>433</x:v>
      </x:c>
      <x:c r="K235" s="1235"/>
      <x:c r="L235" s="1235"/>
      <x:c r="M235" s="1235"/>
      <x:c r="N235" s="1235"/>
      <x:c r="O235" s="1235"/>
      <x:c r="P235" s="1235"/>
      <x:c r="Q235" s="1235"/>
      <x:c r="R235" s="1235"/>
      <x:c r="S235" s="1235"/>
      <x:c r="T235" s="1235"/>
      <x:c r="U235" s="1235"/>
      <x:c r="V235" s="1235"/>
      <x:c r="W235" s="1236" t="s">
        <x:v>426</x:v>
      </x:c>
    </x:row>
    <x:row r="236" spans="1:24" s="48" customFormat="1" ht="14.25" thickBot="1">
      <x:c r="A236" s="1240"/>
      <x:c r="B236" s="1234"/>
      <x:c r="C236" s="270">
        <x:v>1</x:v>
      </x:c>
      <x:c r="D236" s="270">
        <x:v>2</x:v>
      </x:c>
      <x:c r="E236" s="270">
        <x:v>3</x:v>
      </x:c>
      <x:c r="F236" s="1242"/>
      <x:c r="G236" s="1234"/>
      <x:c r="H236" s="1234"/>
      <x:c r="I236" s="1234"/>
      <x:c r="J236" s="271" t="s">
        <x:v>428</x:v>
      </x:c>
      <x:c r="K236" s="271" t="s">
        <x:v>318</x:v>
      </x:c>
      <x:c r="L236" s="271" t="s">
        <x:v>319</x:v>
      </x:c>
      <x:c r="M236" s="271" t="s">
        <x:v>320</x:v>
      </x:c>
      <x:c r="N236" s="271" t="s">
        <x:v>321</x:v>
      </x:c>
      <x:c r="O236" s="271" t="s">
        <x:v>322</x:v>
      </x:c>
      <x:c r="P236" s="271" t="s">
        <x:v>323</x:v>
      </x:c>
      <x:c r="Q236" s="271" t="s">
        <x:v>324</x:v>
      </x:c>
      <x:c r="R236" s="271" t="s">
        <x:v>325</x:v>
      </x:c>
      <x:c r="S236" s="271" t="s">
        <x:v>326</x:v>
      </x:c>
      <x:c r="T236" s="271" t="s">
        <x:v>327</x:v>
      </x:c>
      <x:c r="U236" s="271" t="s">
        <x:v>328</x:v>
      </x:c>
      <x:c r="V236" s="272" t="s">
        <x:v>429</x:v>
      </x:c>
      <x:c r="W236" s="1236"/>
    </x:row>
    <x:row r="237" spans="1:24" s="48" customFormat="1" ht="14.25" thickTop="1">
      <x:c r="A237" s="51" t="s">
        <x:v>330</x:v>
      </x:c>
      <x:c r="B237" s="52" t="s">
        <x:v>331</x:v>
      </x:c>
      <x:c r="C237" s="53" t="s">
        <x:v>332</x:v>
      </x:c>
      <x:c r="D237" s="53"/>
      <x:c r="E237" s="53"/>
      <x:c r="F237" s="53" t="s">
        <x:v>333</x:v>
      </x:c>
      <x:c r="G237" s="54" t="s">
        <x:v>334</x:v>
      </x:c>
      <x:c r="H237" s="53">
        <x:v>1</x:v>
      </x:c>
      <x:c r="I237" s="53" t="s">
        <x:v>1088</x:v>
      </x:c>
      <x:c r="J237" s="109">
        <x:f t="shared" ref="J237:U237" si="98">+$I$234*J83*J5</x:f>
        <x:v>14407712.159999996</x:v>
      </x:c>
      <x:c r="K237" s="126">
        <x:f t="shared" si="98"/>
        <x:v>15639950.699999997</x:v>
      </x:c>
      <x:c r="L237" s="126">
        <x:f t="shared" si="98"/>
        <x:v>18673153.259999994</x:v>
      </x:c>
      <x:c r="M237" s="126">
        <x:f t="shared" si="98"/>
        <x:v>13649411.519999998</x:v>
      </x:c>
      <x:c r="N237" s="126">
        <x:f t="shared" si="98"/>
        <x:v>11279722.019999998</x:v>
      </x:c>
      <x:c r="O237" s="126">
        <x:f t="shared" si="98"/>
        <x:v>23507319.839999996</x:v>
      </x:c>
      <x:c r="P237" s="126">
        <x:f t="shared" si="98"/>
        <x:v>12985898.459999997</x:v>
      </x:c>
      <x:c r="Q237" s="126">
        <x:f t="shared" si="98"/>
        <x:v>21137630.339999996</x:v>
      </x:c>
      <x:c r="R237" s="126">
        <x:f t="shared" si="98"/>
        <x:v>20663692.439999994</x:v>
      </x:c>
      <x:c r="S237" s="126">
        <x:f t="shared" si="98"/>
        <x:v>16075973.567999996</x:v>
      </x:c>
      <x:c r="T237" s="126">
        <x:f t="shared" si="98"/>
        <x:v>17611532.363999996</x:v>
      </x:c>
      <x:c r="U237" s="126">
        <x:f t="shared" si="98"/>
        <x:v>18663674.501999997</x:v>
      </x:c>
      <x:c r="V237" s="110">
        <x:f>SUM(J237:U237)</x:f>
        <x:v>204295671.17399994</x:v>
      </x:c>
      <x:c r="W237" s="1046" t="s">
        <x:v>335</x:v>
      </x:c>
      <x:c r="X237" s="837"/>
    </x:row>
    <x:row r="238" spans="1:24" s="48" customFormat="1" ht="13.5">
      <x:c r="A238" s="58" t="s">
        <x:v>336</x:v>
      </x:c>
      <x:c r="B238" s="59"/>
      <x:c r="C238" s="235" t="s">
        <x:v>332</x:v>
      </x:c>
      <x:c r="D238" s="235"/>
      <x:c r="E238" s="235"/>
      <x:c r="F238" s="235" t="s">
        <x:v>337</x:v>
      </x:c>
      <x:c r="G238" s="236" t="s">
        <x:v>338</x:v>
      </x:c>
      <x:c r="H238" s="235">
        <x:v>1</x:v>
      </x:c>
      <x:c r="I238" s="235" t="s">
        <x:v>1089</x:v>
      </x:c>
      <x:c r="J238" s="282">
        <x:f t="shared" ref="J238:U238" si="99">+$I$234*J84*J6</x:f>
        <x:v>2938395.5999999996</x:v>
      </x:c>
      <x:c r="K238" s="287">
        <x:f t="shared" si="99"/>
        <x:v>3189705.7499999995</x:v>
      </x:c>
      <x:c r="L238" s="287">
        <x:f t="shared" si="99"/>
        <x:v>3808315.3499999996</x:v>
      </x:c>
      <x:c r="M238" s="287">
        <x:f t="shared" si="99"/>
        <x:v>2783743.1999999997</x:v>
      </x:c>
      <x:c r="N238" s="287">
        <x:f t="shared" si="99"/>
        <x:v>2300454.4499999997</x:v>
      </x:c>
      <x:c r="O238" s="287">
        <x:f t="shared" si="99"/>
        <x:v>4794224.3999999994</x:v>
      </x:c>
      <x:c r="P238" s="287">
        <x:f t="shared" si="99"/>
        <x:v>2648422.3499999996</x:v>
      </x:c>
      <x:c r="Q238" s="287">
        <x:f t="shared" si="99"/>
        <x:v>4310935.6499999994</x:v>
      </x:c>
      <x:c r="R238" s="287">
        <x:f t="shared" si="99"/>
        <x:v>4214277.8999999994</x:v>
      </x:c>
      <x:c r="S238" s="287">
        <x:f t="shared" si="99"/>
        <x:v>3278630.8799999994</x:v>
      </x:c>
      <x:c r="T238" s="287">
        <x:f t="shared" si="99"/>
        <x:v>3591801.9899999998</x:v>
      </x:c>
      <x:c r="U238" s="287">
        <x:f t="shared" si="99"/>
        <x:v>3806382.1949999994</x:v>
      </x:c>
      <x:c r="V238" s="111">
        <x:f t="shared" ref="V238:V309" si="100">SUM(J238:U238)</x:f>
        <x:v>41665289.714999996</x:v>
      </x:c>
      <x:c r="W238" s="1046" t="s">
        <x:v>339</x:v>
      </x:c>
      <x:c r="X238" s="837"/>
    </x:row>
    <x:row r="239" spans="1:24" s="48" customFormat="1" ht="13.5">
      <x:c r="A239" s="58"/>
      <x:c r="B239" s="59"/>
      <x:c r="C239" s="61" t="s">
        <x:v>332</x:v>
      </x:c>
      <x:c r="D239" s="61"/>
      <x:c r="E239" s="61"/>
      <x:c r="F239" s="61" t="s">
        <x:v>340</x:v>
      </x:c>
      <x:c r="G239" s="62" t="s">
        <x:v>341</x:v>
      </x:c>
      <x:c r="H239" s="61">
        <x:v>3</x:v>
      </x:c>
      <x:c r="I239" s="61" t="s">
        <x:v>1089</x:v>
      </x:c>
      <x:c r="J239" s="282">
        <x:f t="shared" ref="J239:U239" si="101">+$I$234*J85*J7</x:f>
        <x:v>1692998.1177697876</x:v>
      </x:c>
      <x:c r="K239" s="287">
        <x:f t="shared" si="101"/>
        <x:v>1837794.0094211509</x:v>
      </x:c>
      <x:c r="L239" s="287">
        <x:f t="shared" si="101"/>
        <x:v>2194214.6657937379</x:v>
      </x:c>
      <x:c r="M239" s="287">
        <x:f t="shared" si="101"/>
        <x:v>1603892.9536766408</x:v>
      </x:c>
      <x:c r="N239" s="287">
        <x:f t="shared" si="101"/>
        <x:v>1325439.3158855573</x:v>
      </x:c>
      <x:c r="O239" s="287">
        <x:f t="shared" si="101"/>
        <x:v>2762260.0868875482</x:v>
      </x:c>
      <x:c r="P239" s="287">
        <x:f t="shared" si="101"/>
        <x:v>1525925.9350951375</x:v>
      </x:c>
      <x:c r="Q239" s="287">
        <x:f t="shared" si="101"/>
        <x:v>2483806.4490964646</x:v>
      </x:c>
      <x:c r="R239" s="287">
        <x:f t="shared" si="101"/>
        <x:v>2428115.721538248</x:v>
      </x:c>
      <x:c r="S239" s="287">
        <x:f t="shared" si="101"/>
        <x:v>1889029.4787747103</x:v>
      </x:c>
      <x:c r="T239" s="287">
        <x:f t="shared" si="101"/>
        <x:v>2069467.4360633325</x:v>
      </x:c>
      <x:c r="U239" s="287">
        <x:f t="shared" si="101"/>
        <x:v>2193100.8512425735</x:v>
      </x:c>
      <x:c r="V239" s="111">
        <x:f t="shared" si="100"/>
        <x:v>24006045.021244891</x:v>
      </x:c>
      <x:c r="W239" s="1046" t="s">
        <x:v>339</x:v>
      </x:c>
      <x:c r="X239" s="837"/>
    </x:row>
    <x:row r="240" spans="1:24" s="48" customFormat="1" ht="13.5">
      <x:c r="A240" s="58"/>
      <x:c r="B240" s="59"/>
      <x:c r="C240" s="240" t="s">
        <x:v>332</x:v>
      </x:c>
      <x:c r="D240" s="240"/>
      <x:c r="E240" s="240"/>
      <x:c r="F240" s="240" t="s">
        <x:v>342</x:v>
      </x:c>
      <x:c r="G240" s="241" t="s">
        <x:v>343</x:v>
      </x:c>
      <x:c r="H240" s="240">
        <x:v>3</x:v>
      </x:c>
      <x:c r="I240" s="240" t="s">
        <x:v>1089</x:v>
      </x:c>
      <x:c r="J240" s="287">
        <x:f t="shared" ref="J240:U240" si="102">+$I$234*J86*J8</x:f>
        <x:v>2319925.4062176156</x:v>
      </x:c>
      <x:c r="K240" s="287">
        <x:f t="shared" si="102"/>
        <x:v>2518340.0791178066</x:v>
      </x:c>
      <x:c r="L240" s="287">
        <x:f t="shared" si="102"/>
        <x:v>3006745.4277951992</x:v>
      </x:c>
      <x:c r="M240" s="287">
        <x:f t="shared" si="102"/>
        <x:v>2197824.0690482673</x:v>
      </x:c>
      <x:c r="N240" s="287">
        <x:f t="shared" si="102"/>
        <x:v>1816257.3903940544</x:v>
      </x:c>
      <x:c r="O240" s="287">
        <x:f t="shared" si="102"/>
        <x:v>3785141.4522497938</x:v>
      </x:c>
      <x:c r="P240" s="287">
        <x:f t="shared" si="102"/>
        <x:v>2090985.3990250877</x:v>
      </x:c>
      <x:c r="Q240" s="287">
        <x:f t="shared" si="102"/>
        <x:v>3403574.7735955808</x:v>
      </x:c>
      <x:c r="R240" s="287">
        <x:f t="shared" si="102"/>
        <x:v>3327261.4378647381</x:v>
      </x:c>
      <x:c r="S240" s="287">
        <x:f t="shared" si="102"/>
        <x:v>2588548.3479901818</x:v>
      </x:c>
      <x:c r="T240" s="287">
        <x:f t="shared" si="102"/>
        <x:v>2835803.5557581116</x:v>
      </x:c>
      <x:c r="U240" s="287">
        <x:f t="shared" si="102"/>
        <x:v>3005219.1610805825</x:v>
      </x:c>
      <x:c r="V240" s="111">
        <x:f t="shared" si="100"/>
        <x:v>32895626.500137024</x:v>
      </x:c>
      <x:c r="W240" s="1046" t="s">
        <x:v>339</x:v>
      </x:c>
      <x:c r="X240" s="837"/>
    </x:row>
    <x:row r="241" spans="1:25" s="48" customFormat="1" ht="13.5">
      <x:c r="A241" s="58"/>
      <x:c r="B241" s="59"/>
      <x:c r="C241" s="235" t="s">
        <x:v>332</x:v>
      </x:c>
      <x:c r="D241" s="235"/>
      <x:c r="E241" s="235"/>
      <x:c r="F241" s="235" t="s">
        <x:v>344</x:v>
      </x:c>
      <x:c r="G241" s="236" t="s">
        <x:v>345</x:v>
      </x:c>
      <x:c r="H241" s="235">
        <x:v>1</x:v>
      </x:c>
      <x:c r="I241" s="235" t="s">
        <x:v>1089</x:v>
      </x:c>
      <x:c r="J241" s="287">
        <x:f t="shared" ref="J241:U241" si="103">+$I$234*J87*J9</x:f>
        <x:v>378486.12373570562</x:v>
      </x:c>
      <x:c r="K241" s="287">
        <x:f t="shared" si="103"/>
        <x:v>410856.64747625939</x:v>
      </x:c>
      <x:c r="L241" s="287">
        <x:f t="shared" si="103"/>
        <x:v>490537.93668377638</x:v>
      </x:c>
      <x:c r="M241" s="287">
        <x:f t="shared" si="103"/>
        <x:v>358565.80143382639</x:v>
      </x:c>
      <x:c r="N241" s="287">
        <x:f t="shared" si="103"/>
        <x:v>296314.79424045375</x:v>
      </x:c>
      <x:c r="O241" s="287">
        <x:f t="shared" si="103"/>
        <x:v>617529.99135825655</x:v>
      </x:c>
      <x:c r="P241" s="287">
        <x:f t="shared" si="103"/>
        <x:v>341135.51941968204</x:v>
      </x:c>
      <x:c r="Q241" s="287">
        <x:f t="shared" si="103"/>
        <x:v>555278.98416488396</x:v>
      </x:c>
      <x:c r="R241" s="287">
        <x:f t="shared" si="103"/>
        <x:v>542828.78272620938</x:v>
      </x:c>
      <x:c r="S241" s="287">
        <x:f t="shared" si="103"/>
        <x:v>422310.83279983996</x:v>
      </x:c>
      <x:c r="T241" s="287">
        <x:f t="shared" si="103"/>
        <x:v>462649.48546114541</x:v>
      </x:c>
      <x:c r="U241" s="287">
        <x:f t="shared" si="103"/>
        <x:v>490288.93265500286</x:v>
      </x:c>
      <x:c r="V241" s="111">
        <x:f>SUM(J241:U241)</x:f>
        <x:v>5366783.8321550414</x:v>
      </x:c>
      <x:c r="W241" s="1046" t="s">
        <x:v>339</x:v>
      </x:c>
      <x:c r="X241" s="837"/>
    </x:row>
    <x:row r="242" spans="1:25" s="48" customFormat="1" ht="13.5">
      <x:c r="A242" s="58"/>
      <x:c r="B242" s="289" t="s">
        <x:v>435</x:v>
      </x:c>
      <x:c r="C242" s="127"/>
      <x:c r="D242" s="127"/>
      <x:c r="E242" s="127"/>
      <x:c r="F242" s="127"/>
      <x:c r="G242" s="127"/>
      <x:c r="H242" s="290"/>
      <x:c r="I242" s="290"/>
      <x:c r="J242" s="291">
        <x:f>SUM(J237:J241)</x:f>
        <x:v>21737517.40772311</x:v>
      </x:c>
      <x:c r="K242" s="292">
        <x:f>SUM(K237:K241)</x:f>
        <x:v>23596647.186015215</x:v>
      </x:c>
      <x:c r="L242" s="292">
        <x:f>SUM(L237:L241)</x:f>
        <x:v>28172966.640272707</x:v>
      </x:c>
      <x:c r="M242" s="292">
        <x:f>SUM(M237:M241)</x:f>
        <x:v>20593437.544158731</x:v>
      </x:c>
      <x:c r="N242" s="292">
        <x:f t="shared" ref="N242:T242" si="104">SUM(N237:N241)</x:f>
        <x:v>17018187.970520061</x:v>
      </x:c>
      <x:c r="O242" s="292">
        <x:f t="shared" si="104"/>
        <x:v>35466475.770495594</x:v>
      </x:c>
      <x:c r="P242" s="292">
        <x:f t="shared" si="104"/>
        <x:v>19592367.663539901</x:v>
      </x:c>
      <x:c r="Q242" s="292">
        <x:f t="shared" si="104"/>
        <x:v>31891226.19685692</x:v>
      </x:c>
      <x:c r="R242" s="292">
        <x:f t="shared" si="104"/>
        <x:v>31176176.282129191</x:v>
      </x:c>
      <x:c r="S242" s="292">
        <x:f t="shared" si="104"/>
        <x:v>24254493.107564729</x:v>
      </x:c>
      <x:c r="T242" s="292">
        <x:f t="shared" si="104"/>
        <x:v>26571254.831282586</x:v>
      </x:c>
      <x:c r="U242" s="292">
        <x:f>SUM(U237:U241)</x:f>
        <x:v>28158665.641978156</x:v>
      </x:c>
      <x:c r="V242" s="292">
        <x:f>SUM(J242:U242)</x:f>
        <x:v>308229416.2425369</x:v>
      </x:c>
      <x:c r="W242" s="1052"/>
      <x:c r="X242" s="837">
        <x:v>308229416.2425369</x:v>
      </x:c>
      <x:c r="Y242" s="1168">
        <x:f>+V242-X242</x:f>
        <x:v>0</x:v>
      </x:c>
    </x:row>
    <x:row r="243" spans="1:25" s="48" customFormat="1" ht="13.5">
      <x:c r="A243" s="58"/>
      <x:c r="B243" s="66" t="s">
        <x:v>346</x:v>
      </x:c>
      <x:c r="C243" s="67" t="s">
        <x:v>332</x:v>
      </x:c>
      <x:c r="D243" s="67"/>
      <x:c r="E243" s="67"/>
      <x:c r="F243" s="67" t="s">
        <x:v>333</x:v>
      </x:c>
      <x:c r="G243" s="68" t="s">
        <x:v>334</x:v>
      </x:c>
      <x:c r="H243" s="67">
        <x:v>1</x:v>
      </x:c>
      <x:c r="I243" s="67" t="s">
        <x:v>1088</x:v>
      </x:c>
      <x:c r="J243" s="286">
        <x:f t="shared" ref="J243:U243" si="105">+$I$234*J88*J10</x:f>
        <x:v>7583006.3999999994</x:v>
      </x:c>
      <x:c r="K243" s="286">
        <x:f t="shared" si="105"/>
        <x:v>6784795.1999999993</x:v>
      </x:c>
      <x:c r="L243" s="286">
        <x:f t="shared" si="105"/>
        <x:v>8381217.5999999996</x:v>
      </x:c>
      <x:c r="M243" s="286">
        <x:f t="shared" si="105"/>
        <x:v>8381217.5999999996</x:v>
      </x:c>
      <x:c r="N243" s="286">
        <x:f t="shared" si="105"/>
        <x:v>9179428.7999999989</x:v>
      </x:c>
      <x:c r="O243" s="286">
        <x:f t="shared" si="105"/>
        <x:v>12372273.6</x:v>
      </x:c>
      <x:c r="P243" s="286">
        <x:f t="shared" si="105"/>
        <x:v>8780323.1999999993</x:v>
      </x:c>
      <x:c r="Q243" s="286">
        <x:f t="shared" si="105"/>
        <x:v>8979876</x:v>
      </x:c>
      <x:c r="R243" s="286">
        <x:f t="shared" si="105"/>
        <x:v>9349048.6799999997</x:v>
      </x:c>
      <x:c r="S243" s="286">
        <x:f t="shared" si="105"/>
        <x:v>9508690.9199999999</x:v>
      </x:c>
      <x:c r="T243" s="286">
        <x:f t="shared" si="105"/>
        <x:v>9698266.0800000001</x:v>
      </x:c>
      <x:c r="U243" s="286">
        <x:f t="shared" si="105"/>
        <x:v>9783076.0199999996</x:v>
      </x:c>
      <x:c r="V243" s="116">
        <x:f t="shared" si="100"/>
        <x:v>108781220.09999998</x:v>
      </x:c>
      <x:c r="W243" s="1052" t="s">
        <x:v>347</x:v>
      </x:c>
      <x:c r="X243" s="837"/>
    </x:row>
    <x:row r="244" spans="1:25" s="48" customFormat="1" ht="13.5">
      <x:c r="A244" s="58"/>
      <x:c r="B244" s="59"/>
      <x:c r="C244" s="235" t="s">
        <x:v>332</x:v>
      </x:c>
      <x:c r="D244" s="235"/>
      <x:c r="E244" s="235"/>
      <x:c r="F244" s="235" t="s">
        <x:v>337</x:v>
      </x:c>
      <x:c r="G244" s="236" t="s">
        <x:v>338</x:v>
      </x:c>
      <x:c r="H244" s="235">
        <x:v>1</x:v>
      </x:c>
      <x:c r="I244" s="235" t="s">
        <x:v>1089</x:v>
      </x:c>
      <x:c r="J244" s="286">
        <x:f t="shared" ref="J244:U244" si="106">+$I$234*J89*J11</x:f>
        <x:v>1546524</x:v>
      </x:c>
      <x:c r="K244" s="286">
        <x:f t="shared" si="106"/>
        <x:v>1383732</x:v>
      </x:c>
      <x:c r="L244" s="286">
        <x:f t="shared" si="106"/>
        <x:v>1709316</x:v>
      </x:c>
      <x:c r="M244" s="286">
        <x:f t="shared" si="106"/>
        <x:v>1709316</x:v>
      </x:c>
      <x:c r="N244" s="286">
        <x:f t="shared" si="106"/>
        <x:v>1872107.9999999998</x:v>
      </x:c>
      <x:c r="O244" s="286">
        <x:f t="shared" si="106"/>
        <x:v>2523276</x:v>
      </x:c>
      <x:c r="P244" s="286">
        <x:f t="shared" si="106"/>
        <x:v>1790711.9999999998</x:v>
      </x:c>
      <x:c r="Q244" s="286">
        <x:f t="shared" si="106"/>
        <x:v>1831409.9999999998</x:v>
      </x:c>
      <x:c r="R244" s="286">
        <x:f t="shared" si="106"/>
        <x:v>1906701.2999999998</x:v>
      </x:c>
      <x:c r="S244" s="286">
        <x:f t="shared" si="106"/>
        <x:v>1939259.7</x:v>
      </x:c>
      <x:c r="T244" s="286">
        <x:f t="shared" si="106"/>
        <x:v>1977922.7999999998</x:v>
      </x:c>
      <x:c r="U244" s="286">
        <x:f t="shared" si="106"/>
        <x:v>1995219.45</x:v>
      </x:c>
      <x:c r="V244" s="111">
        <x:f t="shared" si="100"/>
        <x:v>22185497.25</x:v>
      </x:c>
      <x:c r="W244" s="1046" t="s">
        <x:v>339</x:v>
      </x:c>
      <x:c r="X244" s="837"/>
    </x:row>
    <x:row r="245" spans="1:25" s="48" customFormat="1" ht="13.5">
      <x:c r="A245" s="58"/>
      <x:c r="B245" s="59"/>
      <x:c r="C245" s="61" t="s">
        <x:v>332</x:v>
      </x:c>
      <x:c r="D245" s="61"/>
      <x:c r="E245" s="61"/>
      <x:c r="F245" s="61" t="s">
        <x:v>340</x:v>
      </x:c>
      <x:c r="G245" s="62" t="s">
        <x:v>341</x:v>
      </x:c>
      <x:c r="H245" s="61">
        <x:v>3</x:v>
      </x:c>
      <x:c r="I245" s="61" t="s">
        <x:v>1089</x:v>
      </x:c>
      <x:c r="J245" s="286">
        <x:f t="shared" ref="J245:U245" si="107">+$I$234*J90*J12</x:f>
        <x:v>891051.64093146706</x:v>
      </x:c>
      <x:c r="K245" s="286">
        <x:f t="shared" si="107"/>
        <x:v>797256.73135973373</x:v>
      </x:c>
      <x:c r="L245" s="286">
        <x:f t="shared" si="107"/>
        <x:v>984846.5505032005</x:v>
      </x:c>
      <x:c r="M245" s="286">
        <x:f t="shared" si="107"/>
        <x:v>984846.5505032005</x:v>
      </x:c>
      <x:c r="N245" s="286">
        <x:f t="shared" si="107"/>
        <x:v>1078641.4600749339</x:v>
      </x:c>
      <x:c r="O245" s="286">
        <x:f t="shared" si="107"/>
        <x:v>1453821.0983618675</x:v>
      </x:c>
      <x:c r="P245" s="286">
        <x:f t="shared" si="107"/>
        <x:v>1031744.0052890672</x:v>
      </x:c>
      <x:c r="Q245" s="286">
        <x:f t="shared" si="107"/>
        <x:v>1055192.7326820006</x:v>
      </x:c>
      <x:c r="R245" s="286">
        <x:f t="shared" si="107"/>
        <x:v>1098572.8783589271</x:v>
      </x:c>
      <x:c r="S245" s="286">
        <x:f t="shared" si="107"/>
        <x:v>1117331.8602732739</x:v>
      </x:c>
      <x:c r="T245" s="286">
        <x:f t="shared" si="107"/>
        <x:v>1139608.1512965607</x:v>
      </x:c>
      <x:c r="U245" s="286">
        <x:f t="shared" si="107"/>
        <x:v>1149573.8604385571</x:v>
      </x:c>
      <x:c r="V245" s="113">
        <x:f t="shared" si="100"/>
        <x:v>12782487.52007279</x:v>
      </x:c>
      <x:c r="W245" s="1046" t="s">
        <x:v>339</x:v>
      </x:c>
      <x:c r="X245" s="837"/>
    </x:row>
    <x:row r="246" spans="1:25" s="48" customFormat="1" ht="13.5">
      <x:c r="A246" s="58"/>
      <x:c r="B246" s="59"/>
      <x:c r="C246" s="240" t="s">
        <x:v>332</x:v>
      </x:c>
      <x:c r="D246" s="240"/>
      <x:c r="E246" s="240"/>
      <x:c r="F246" s="240" t="s">
        <x:v>342</x:v>
      </x:c>
      <x:c r="G246" s="241" t="s">
        <x:v>343</x:v>
      </x:c>
      <x:c r="H246" s="240">
        <x:v>3</x:v>
      </x:c>
      <x:c r="I246" s="240" t="s">
        <x:v>1089</x:v>
      </x:c>
      <x:c r="J246" s="286">
        <x:f t="shared" ref="J246:U246" si="108">+$I$234*J91*J13</x:f>
        <x:v>1221013.3716934822</x:v>
      </x:c>
      <x:c r="K246" s="286">
        <x:f t="shared" si="108"/>
        <x:v>1092485.6483573259</x:v>
      </x:c>
      <x:c r="L246" s="286">
        <x:f t="shared" si="108"/>
        <x:v>1349541.0950296381</x:v>
      </x:c>
      <x:c r="M246" s="286">
        <x:f t="shared" si="108"/>
        <x:v>1349541.0950296381</x:v>
      </x:c>
      <x:c r="N246" s="286">
        <x:f t="shared" si="108"/>
        <x:v>1478068.8183657941</x:v>
      </x:c>
      <x:c r="O246" s="286">
        <x:f t="shared" si="108"/>
        <x:v>1992179.7117104181</x:v>
      </x:c>
      <x:c r="P246" s="286">
        <x:f t="shared" si="108"/>
        <x:v>1413804.9566977161</x:v>
      </x:c>
      <x:c r="Q246" s="286">
        <x:f t="shared" si="108"/>
        <x:v>1445936.887531755</x:v>
      </x:c>
      <x:c r="R246" s="286">
        <x:f t="shared" si="108"/>
        <x:v>1505380.9595747271</x:v>
      </x:c>
      <x:c r="S246" s="286">
        <x:f t="shared" si="108"/>
        <x:v>1531086.5042419585</x:v>
      </x:c>
      <x:c r="T246" s="286">
        <x:f t="shared" si="108"/>
        <x:v>1561611.8385342956</x:v>
      </x:c>
      <x:c r="U246" s="286">
        <x:f t="shared" si="108"/>
        <x:v>1575267.9091387619</x:v>
      </x:c>
      <x:c r="V246" s="113">
        <x:f t="shared" si="100"/>
        <x:v>17515918.795905512</x:v>
      </x:c>
      <x:c r="W246" s="1046" t="s">
        <x:v>339</x:v>
      </x:c>
      <x:c r="X246" s="837"/>
    </x:row>
    <x:row r="247" spans="1:25" s="48" customFormat="1" ht="13.5">
      <x:c r="A247" s="58"/>
      <x:c r="B247" s="69"/>
      <x:c r="C247" s="240" t="s">
        <x:v>332</x:v>
      </x:c>
      <x:c r="D247" s="240"/>
      <x:c r="E247" s="240"/>
      <x:c r="F247" s="240" t="s">
        <x:v>344</x:v>
      </x:c>
      <x:c r="G247" s="241" t="s">
        <x:v>345</x:v>
      </x:c>
      <x:c r="H247" s="240">
        <x:v>1</x:v>
      </x:c>
      <x:c r="I247" s="240" t="s">
        <x:v>1089</x:v>
      </x:c>
      <x:c r="J247" s="286">
        <x:f t="shared" ref="J247:U247" si="109">+$I$234*J92*J14</x:f>
        <x:v>199203.22301879243</x:v>
      </x:c>
      <x:c r="K247" s="286">
        <x:f t="shared" si="109"/>
        <x:v>178234.46270102481</x:v>
      </x:c>
      <x:c r="L247" s="286">
        <x:f t="shared" si="109"/>
        <x:v>220171.98333656005</x:v>
      </x:c>
      <x:c r="M247" s="286">
        <x:f t="shared" si="109"/>
        <x:v>220171.98333656005</x:v>
      </x:c>
      <x:c r="N247" s="286">
        <x:f t="shared" si="109"/>
        <x:v>241140.74365432767</x:v>
      </x:c>
      <x:c r="O247" s="286">
        <x:f t="shared" si="109"/>
        <x:v>325015.78492539818</x:v>
      </x:c>
      <x:c r="P247" s="286">
        <x:f t="shared" si="109"/>
        <x:v>230656.36349544386</x:v>
      </x:c>
      <x:c r="Q247" s="286">
        <x:f t="shared" si="109"/>
        <x:v>235898.55357488577</x:v>
      </x:c>
      <x:c r="R247" s="286">
        <x:f t="shared" si="109"/>
        <x:v>245596.6052218533</x:v>
      </x:c>
      <x:c r="S247" s="286">
        <x:f t="shared" si="109"/>
        <x:v>249790.35728540682</x:v>
      </x:c>
      <x:c r="T247" s="286">
        <x:f t="shared" si="109"/>
        <x:v>254770.43786087664</x:v>
      </x:c>
      <x:c r="U247" s="286">
        <x:f t="shared" si="109"/>
        <x:v>256998.36864463944</x:v>
      </x:c>
      <x:c r="V247" s="113">
        <x:f t="shared" si="100"/>
        <x:v>2857648.8670557691</x:v>
      </x:c>
      <x:c r="W247" s="1046" t="s">
        <x:v>339</x:v>
      </x:c>
      <x:c r="X247" s="837"/>
    </x:row>
    <x:row r="248" spans="1:25" s="48" customFormat="1" ht="13.5">
      <x:c r="A248" s="58"/>
      <x:c r="B248" s="289" t="s">
        <x:v>435</x:v>
      </x:c>
      <x:c r="C248" s="127"/>
      <x:c r="D248" s="127"/>
      <x:c r="E248" s="127"/>
      <x:c r="F248" s="127"/>
      <x:c r="G248" s="127"/>
      <x:c r="H248" s="290"/>
      <x:c r="I248" s="290"/>
      <x:c r="J248" s="291">
        <x:f t="shared" ref="J248:U248" si="110">SUM(J243:J247)</x:f>
        <x:v>11440798.635643739</x:v>
      </x:c>
      <x:c r="K248" s="292">
        <x:f t="shared" si="110"/>
        <x:v>10236504.042418083</x:v>
      </x:c>
      <x:c r="L248" s="292">
        <x:f t="shared" si="110"/>
        <x:v>12645093.228869397</x:v>
      </x:c>
      <x:c r="M248" s="292">
        <x:f t="shared" si="110"/>
        <x:v>12645093.228869397</x:v>
      </x:c>
      <x:c r="N248" s="292">
        <x:f t="shared" si="110"/>
        <x:v>13849387.822095053</x:v>
      </x:c>
      <x:c r="O248" s="292">
        <x:f t="shared" si="110"/>
        <x:v>18666566.194997683</x:v>
      </x:c>
      <x:c r="P248" s="292">
        <x:f t="shared" si="110"/>
        <x:v>13247240.525482224</x:v>
      </x:c>
      <x:c r="Q248" s="292">
        <x:f t="shared" si="110"/>
        <x:v>13548314.173788643</x:v>
      </x:c>
      <x:c r="R248" s="292">
        <x:f t="shared" si="110"/>
        <x:v>14105300.423155507</x:v>
      </x:c>
      <x:c r="S248" s="292">
        <x:f t="shared" si="110"/>
        <x:v>14346159.341800638</x:v>
      </x:c>
      <x:c r="T248" s="292">
        <x:f t="shared" si="110"/>
        <x:v>14632179.307691731</x:v>
      </x:c>
      <x:c r="U248" s="292">
        <x:f t="shared" si="110"/>
        <x:v>14760135.608221957</x:v>
      </x:c>
      <x:c r="V248" s="292">
        <x:f>SUM(J248:U248)</x:f>
        <x:v>164122772.53303403</x:v>
      </x:c>
      <x:c r="W248" s="1046"/>
      <x:c r="X248" s="837">
        <x:v>164122772.53303403</x:v>
      </x:c>
      <x:c r="Y248" s="1168">
        <x:f>+V248-X248</x:f>
        <x:v>0</x:v>
      </x:c>
    </x:row>
    <x:row r="249" spans="1:25" s="48" customFormat="1" ht="13.5">
      <x:c r="A249" s="58"/>
      <x:c r="B249" s="66" t="s">
        <x:v>1034</x:v>
      </x:c>
      <x:c r="C249" s="235" t="s">
        <x:v>332</x:v>
      </x:c>
      <x:c r="D249" s="235"/>
      <x:c r="E249" s="235"/>
      <x:c r="F249" s="235" t="s">
        <x:v>1090</x:v>
      </x:c>
      <x:c r="G249" s="236" t="s">
        <x:v>1091</x:v>
      </x:c>
      <x:c r="H249" s="235">
        <x:v>1</x:v>
      </x:c>
      <x:c r="I249" s="235" t="s">
        <x:v>1089</x:v>
      </x:c>
      <x:c r="J249" s="287">
        <x:f t="shared" ref="J249:U249" si="111">+$I$234*J93*J15</x:f>
        <x:v>13620727.08</x:v>
      </x:c>
      <x:c r="K249" s="287">
        <x:f t="shared" si="111"/>
        <x:v>13994549.430000002</x:v>
      </x:c>
      <x:c r="L249" s="287">
        <x:f t="shared" si="111"/>
        <x:v>26955989.82</x:v>
      </x:c>
      <x:c r="M249" s="287">
        <x:f t="shared" si="111"/>
        <x:v>22796366.580000002</x:v>
      </x:c>
      <x:c r="N249" s="287">
        <x:f t="shared" si="111"/>
        <x:v>18208546.830000002</x:v>
      </x:c>
      <x:c r="O249" s="287">
        <x:f t="shared" si="111"/>
        <x:v>28845491.880000003</x:v>
      </x:c>
      <x:c r="P249" s="287">
        <x:f t="shared" si="111"/>
        <x:v>17542463.370000001</x:v>
      </x:c>
      <x:c r="Q249" s="287">
        <x:f t="shared" si="111"/>
        <x:v>27744415.140000001</x:v>
      </x:c>
      <x:c r="R249" s="287">
        <x:f t="shared" si="111"/>
        <x:v>23115814.770000003</x:v>
      </x:c>
      <x:c r="S249" s="287">
        <x:f t="shared" si="111"/>
        <x:v>21783647.850000001</x:v>
      </x:c>
      <x:c r="T249" s="287">
        <x:f t="shared" si="111"/>
        <x:v>0</x:v>
      </x:c>
      <x:c r="U249" s="287">
        <x:f t="shared" si="111"/>
        <x:v>0</x:v>
      </x:c>
      <x:c r="V249" s="111">
        <x:f t="shared" si="100"/>
        <x:v>214608012.75</x:v>
      </x:c>
      <x:c r="W249" s="1046" t="s">
        <x:v>349</x:v>
      </x:c>
      <x:c r="X249" s="837"/>
    </x:row>
    <x:row r="250" spans="1:25" s="48" customFormat="1" ht="13.5">
      <x:c r="A250" s="58"/>
      <x:c r="B250" s="70"/>
      <x:c r="C250" s="235" t="s">
        <x:v>332</x:v>
      </x:c>
      <x:c r="D250" s="235"/>
      <x:c r="E250" s="235"/>
      <x:c r="F250" s="235" t="s">
        <x:v>366</x:v>
      </x:c>
      <x:c r="G250" s="236" t="s">
        <x:v>1035</x:v>
      </x:c>
      <x:c r="H250" s="235">
        <x:v>1</x:v>
      </x:c>
      <x:c r="I250" s="235" t="s">
        <x:v>1089</x:v>
      </x:c>
      <x:c r="J250" s="287">
        <x:f t="shared" ref="J250:U250" si="112">+$I$234*J94*J16</x:f>
        <x:v>2795279.4000000004</x:v>
      </x:c>
      <x:c r="K250" s="287">
        <x:f t="shared" si="112"/>
        <x:v>2871996.1500000004</x:v>
      </x:c>
      <x:c r="L250" s="287">
        <x:f t="shared" si="112"/>
        <x:v>5531975.1000000006</x:v>
      </x:c>
      <x:c r="M250" s="287">
        <x:f t="shared" si="112"/>
        <x:v>4678326.9000000004</x:v>
      </x:c>
      <x:c r="N250" s="287">
        <x:f t="shared" si="112"/>
        <x:v>3736803.1500000004</x:v>
      </x:c>
      <x:c r="O250" s="287">
        <x:f t="shared" si="112"/>
        <x:v>5919743.4000000004</x:v>
      </x:c>
      <x:c r="P250" s="287">
        <x:f t="shared" si="112"/>
        <x:v>3600107.8500000006</x:v>
      </x:c>
      <x:c r="Q250" s="287">
        <x:f t="shared" si="112"/>
        <x:v>5693777.7000000002</x:v>
      </x:c>
      <x:c r="R250" s="287">
        <x:f t="shared" si="112"/>
        <x:v>4743884.8500000006</x:v>
      </x:c>
      <x:c r="S250" s="287">
        <x:f t="shared" si="112"/>
        <x:v>4470494.25</x:v>
      </x:c>
      <x:c r="T250" s="287">
        <x:f t="shared" si="112"/>
        <x:v>0</x:v>
      </x:c>
      <x:c r="U250" s="287">
        <x:f t="shared" si="112"/>
        <x:v>0</x:v>
      </x:c>
      <x:c r="V250" s="111">
        <x:f t="shared" si="100"/>
        <x:v>44042388.750000007</x:v>
      </x:c>
      <x:c r="W250" s="1046"/>
      <x:c r="X250" s="837"/>
    </x:row>
    <x:row r="251" spans="1:25" s="48" customFormat="1" ht="13.5">
      <x:c r="A251" s="58"/>
      <x:c r="B251" s="70"/>
      <x:c r="C251" s="240" t="s">
        <x:v>332</x:v>
      </x:c>
      <x:c r="D251" s="240"/>
      <x:c r="E251" s="240"/>
      <x:c r="F251" s="240" t="s">
        <x:v>351</x:v>
      </x:c>
      <x:c r="G251" s="241" t="s">
        <x:v>1036</x:v>
      </x:c>
      <x:c r="H251" s="240">
        <x:v>1</x:v>
      </x:c>
      <x:c r="I251" s="240" t="s">
        <x:v>1089</x:v>
      </x:c>
      <x:c r="J251" s="287">
        <x:f t="shared" ref="J251:U251" si="113">+$I$234*J95*J17</x:f>
        <x:v>1892449.179780591</x:v>
      </x:c>
      <x:c r="K251" s="287">
        <x:f t="shared" si="113"/>
        <x:v>1944387.6552735714</x:v>
      </x:c>
      <x:c r="L251" s="287">
        <x:f t="shared" si="113"/>
        <x:v>3745236.2510029059</x:v>
      </x:c>
      <x:c r="M251" s="287">
        <x:f t="shared" si="113"/>
        <x:v>3167302.6691537434</x:v>
      </x:c>
      <x:c r="N251" s="287">
        <x:f t="shared" si="113"/>
        <x:v>2529875.9244671674</x:v>
      </x:c>
      <x:c r="O251" s="287">
        <x:f t="shared" si="113"/>
        <x:v>4007761.63622197</x:v>
      </x:c>
      <x:c r="P251" s="287">
        <x:f t="shared" si="113"/>
        <x:v>2437331.0044978568</x:v>
      </x:c>
      <x:c r="Q251" s="287">
        <x:f t="shared" si="113"/>
        <x:v>3854779.2174971919</x:v>
      </x:c>
      <x:c r="R251" s="287">
        <x:f t="shared" si="113"/>
        <x:v>3211686.4573022905</x:v>
      </x:c>
      <x:c r="S251" s="287">
        <x:f t="shared" si="113"/>
        <x:v>3026596.6173636699</x:v>
      </x:c>
      <x:c r="T251" s="287">
        <x:f t="shared" si="113"/>
        <x:v>0</x:v>
      </x:c>
      <x:c r="U251" s="287">
        <x:f t="shared" si="113"/>
        <x:v>0</x:v>
      </x:c>
      <x:c r="V251" s="113">
        <x:f t="shared" si="100"/>
        <x:v>29817406.612560958</x:v>
      </x:c>
      <x:c r="W251" s="1046"/>
      <x:c r="X251" s="837"/>
    </x:row>
    <x:row r="252" spans="1:25" s="48" customFormat="1" ht="13.5">
      <x:c r="A252" s="58"/>
      <x:c r="B252" s="70"/>
      <x:c r="C252" s="240" t="s">
        <x:v>332</x:v>
      </x:c>
      <x:c r="D252" s="240"/>
      <x:c r="E252" s="240"/>
      <x:c r="F252" s="240" t="s">
        <x:v>353</x:v>
      </x:c>
      <x:c r="G252" s="241" t="s">
        <x:v>1037</x:v>
      </x:c>
      <x:c r="H252" s="240">
        <x:v>3</x:v>
      </x:c>
      <x:c r="I252" s="240" t="s">
        <x:v>1089</x:v>
      </x:c>
      <x:c r="J252" s="287">
        <x:f t="shared" ref="J252:U252" si="114">+$I$234*J96*J18</x:f>
        <x:v>4923273.2475513304</x:v>
      </x:c>
      <x:c r="K252" s="287">
        <x:f t="shared" si="114"/>
        <x:v>5058393.0223094765</x:v>
      </x:c>
      <x:c r="L252" s="287">
        <x:f t="shared" si="114"/>
        <x:v>9743364.1216509864</x:v>
      </x:c>
      <x:c r="M252" s="287">
        <x:f t="shared" si="114"/>
        <x:v>8239849.5370694427</x:v>
      </x:c>
      <x:c r="N252" s="287">
        <x:f t="shared" si="114"/>
        <x:v>6581561.3923103865</x:v>
      </x:c>
      <x:c r="O252" s="287">
        <x:f t="shared" si="114"/>
        <x:v>10426333.164973976</x:v>
      </x:c>
      <x:c r="P252" s="287">
        <x:f t="shared" si="114"/>
        <x:v>6340802.520923146</x:v>
      </x:c>
      <x:c r="Q252" s="287">
        <x:f t="shared" si="114"/>
        <x:v>10028344.010231802</x:v>
      </x:c>
      <x:c r="R252" s="287">
        <x:f t="shared" si="114"/>
        <x:v>8355315.5264082216</x:v>
      </x:c>
      <x:c r="S252" s="287">
        <x:f t="shared" si="114"/>
        <x:v>7873797.7836337397</x:v>
      </x:c>
      <x:c r="T252" s="287">
        <x:f t="shared" si="114"/>
        <x:v>0</x:v>
      </x:c>
      <x:c r="U252" s="287">
        <x:f t="shared" si="114"/>
        <x:v>0</x:v>
      </x:c>
      <x:c r="V252" s="113">
        <x:f t="shared" si="100"/>
        <x:v>77571034.327062503</x:v>
      </x:c>
      <x:c r="W252" s="1046"/>
      <x:c r="X252" s="837"/>
    </x:row>
    <x:row r="253" spans="1:25" s="48" customFormat="1" ht="13.5">
      <x:c r="A253" s="58"/>
      <x:c r="B253" s="70"/>
      <x:c r="C253" s="240" t="s">
        <x:v>332</x:v>
      </x:c>
      <x:c r="D253" s="240"/>
      <x:c r="E253" s="240"/>
      <x:c r="F253" s="240" t="s">
        <x:v>354</x:v>
      </x:c>
      <x:c r="G253" s="241" t="s">
        <x:v>1038</x:v>
      </x:c>
      <x:c r="H253" s="240">
        <x:v>1</x:v>
      </x:c>
      <x:c r="I253" s="240" t="s">
        <x:v>1089</x:v>
      </x:c>
      <x:c r="J253" s="287">
        <x:f t="shared" ref="J253:U253" si="115">+$I$234*J97*J19</x:f>
        <x:v>2233265.6968324231</x:v>
      </x:c>
      <x:c r="K253" s="287">
        <x:f t="shared" si="115"/>
        <x:v>2294557.9190508779</x:v>
      </x:c>
      <x:c r="L253" s="287">
        <x:f t="shared" si="115"/>
        <x:v>4419726.4239707533</x:v>
      </x:c>
      <x:c r="M253" s="287">
        <x:f t="shared" si="115"/>
        <x:v>3737711.1512854025</x:v>
      </x:c>
      <x:c r="N253" s="287">
        <x:f t="shared" si="115"/>
        <x:v>2985488.4240589128</x:v>
      </x:c>
      <x:c r="O253" s="287">
        <x:f t="shared" si="115"/>
        <x:v>4729530.7471840335</x:v>
      </x:c>
      <x:c r="P253" s="287">
        <x:f t="shared" si="115"/>
        <x:v>2876276.8281060299</x:v>
      </x:c>
      <x:c r="Q253" s="287">
        <x:f t="shared" si="115"/>
        <x:v>4548997.2926496761</x:v>
      </x:c>
      <x:c r="R253" s="287">
        <x:f t="shared" si="115"/>
        <x:v>3790088.1411811733</x:v>
      </x:c>
      <x:c r="S253" s="287">
        <x:f t="shared" si="115"/>
        <x:v>3571664.949275407</x:v>
      </x:c>
      <x:c r="T253" s="287">
        <x:f t="shared" si="115"/>
        <x:v>0</x:v>
      </x:c>
      <x:c r="U253" s="287">
        <x:f t="shared" si="115"/>
        <x:v>0</x:v>
      </x:c>
      <x:c r="V253" s="114">
        <x:f t="shared" si="100"/>
        <x:v>35187307.573594689</x:v>
      </x:c>
      <x:c r="W253" s="1046"/>
      <x:c r="X253" s="837"/>
    </x:row>
    <x:row r="254" spans="1:25" s="48" customFormat="1" ht="13.5">
      <x:c r="A254" s="58"/>
      <x:c r="B254" s="70"/>
      <x:c r="C254" s="240" t="s">
        <x:v>332</x:v>
      </x:c>
      <x:c r="D254" s="240"/>
      <x:c r="E254" s="240"/>
      <x:c r="F254" s="240" t="s">
        <x:v>355</x:v>
      </x:c>
      <x:c r="G254" s="241" t="s">
        <x:v>1039</x:v>
      </x:c>
      <x:c r="H254" s="240">
        <x:v>1</x:v>
      </x:c>
      <x:c r="I254" s="240" t="s">
        <x:v>1089</x:v>
      </x:c>
      <x:c r="J254" s="287">
        <x:f t="shared" ref="J254:U254" si="116">+$I$234*J98*J20</x:f>
        <x:v>1514400.2168426835</x:v>
      </x:c>
      <x:c r="K254" s="287">
        <x:f t="shared" si="116"/>
        <x:v>1555963.0970454516</x:v>
      </x:c>
      <x:c r="L254" s="287">
        <x:f t="shared" si="116"/>
        <x:v>2997061.5069850711</x:v>
      </x:c>
      <x:c r="M254" s="287">
        <x:f t="shared" si="116"/>
        <x:v>2534580.0036379043</x:v>
      </x:c>
      <x:c r="N254" s="287">
        <x:f t="shared" si="116"/>
        <x:v>2024490.1102402939</x:v>
      </x:c>
      <x:c r="O254" s="287">
        <x:f t="shared" si="116"/>
        <x:v>3207142.9741917904</x:v>
      </x:c>
      <x:c r="P254" s="287">
        <x:f t="shared" si="116"/>
        <x:v>1950432.6146062703</x:v>
      </x:c>
      <x:c r="Q254" s="287">
        <x:f t="shared" si="116"/>
        <x:v>3084721.3997763642</x:v>
      </x:c>
      <x:c r="R254" s="287">
        <x:f t="shared" si="116"/>
        <x:v>2570097.3739929972</x:v>
      </x:c>
      <x:c r="S254" s="287">
        <x:f t="shared" si="116"/>
        <x:v>2421982.3827249501</x:v>
      </x:c>
      <x:c r="T254" s="287">
        <x:f t="shared" si="116"/>
        <x:v>0</x:v>
      </x:c>
      <x:c r="U254" s="287">
        <x:f t="shared" si="116"/>
        <x:v>0</x:v>
      </x:c>
      <x:c r="V254" s="114">
        <x:f t="shared" si="100"/>
        <x:v>23860871.680043779</x:v>
      </x:c>
      <x:c r="W254" s="1046"/>
      <x:c r="X254" s="837"/>
    </x:row>
    <x:row r="255" spans="1:25" s="48" customFormat="1" ht="13.5">
      <x:c r="A255" s="58"/>
      <x:c r="B255" s="70"/>
      <x:c r="C255" s="240" t="s">
        <x:v>332</x:v>
      </x:c>
      <x:c r="D255" s="240"/>
      <x:c r="E255" s="240"/>
      <x:c r="F255" s="240" t="s">
        <x:v>356</x:v>
      </x:c>
      <x:c r="G255" s="241" t="s">
        <x:v>1040</x:v>
      </x:c>
      <x:c r="H255" s="240">
        <x:v>1</x:v>
      </x:c>
      <x:c r="I255" s="240" t="s">
        <x:v>1089</x:v>
      </x:c>
      <x:c r="J255" s="287">
        <x:f t="shared" ref="J255:U255" si="117">+$I$234*J99*J21</x:f>
        <x:v>1874817.2871731177</x:v>
      </x:c>
      <x:c r="K255" s="287">
        <x:f t="shared" si="117"/>
        <x:v>1926271.8534378491</x:v>
      </x:c>
      <x:c r="L255" s="287">
        <x:f t="shared" si="117"/>
        <x:v>3710341.9964713501</x:v>
      </x:c>
      <x:c r="M255" s="287">
        <x:f t="shared" si="117"/>
        <x:v>3137793.0045801583</x:v>
      </x:c>
      <x:c r="N255" s="287">
        <x:f t="shared" si="117"/>
        <x:v>2506305.1458766381</x:v>
      </x:c>
      <x:c r="O255" s="287">
        <x:f t="shared" si="117"/>
        <x:v>3970421.4405003553</x:v>
      </x:c>
      <x:c r="P255" s="287">
        <x:f t="shared" si="117"/>
        <x:v>2414622.4641685714</x:v>
      </x:c>
      <x:c r="Q255" s="287">
        <x:f t="shared" si="117"/>
        <x:v>3818864.3544115103</x:v>
      </x:c>
      <x:c r="R255" s="287">
        <x:f t="shared" si="117"/>
        <x:v>3181763.2702972922</x:v>
      </x:c>
      <x:c r="S255" s="287">
        <x:f t="shared" si="117"/>
        <x:v>2998397.9068811592</x:v>
      </x:c>
      <x:c r="T255" s="287">
        <x:f t="shared" si="117"/>
        <x:v>0</x:v>
      </x:c>
      <x:c r="U255" s="287">
        <x:f t="shared" si="117"/>
        <x:v>0</x:v>
      </x:c>
      <x:c r="V255" s="114">
        <x:f t="shared" si="100"/>
        <x:v>29539598.723797999</x:v>
      </x:c>
      <x:c r="W255" s="1046"/>
      <x:c r="X255" s="837"/>
    </x:row>
    <x:row r="256" spans="1:25" s="48" customFormat="1" ht="13.5">
      <x:c r="A256" s="58"/>
      <x:c r="B256" s="70"/>
      <x:c r="C256" s="240" t="s">
        <x:v>332</x:v>
      </x:c>
      <x:c r="D256" s="235"/>
      <x:c r="E256" s="235"/>
      <x:c r="F256" s="235" t="s">
        <x:v>357</x:v>
      </x:c>
      <x:c r="G256" s="236" t="s">
        <x:v>1041</x:v>
      </x:c>
      <x:c r="H256" s="235">
        <x:v>1</x:v>
      </x:c>
      <x:c r="I256" s="235" t="s">
        <x:v>1089</x:v>
      </x:c>
      <x:c r="J256" s="287">
        <x:f t="shared" ref="J256:U256" si="118">+$I$234*J100*J22</x:f>
        <x:v>995563.33489162917</x:v>
      </x:c>
      <x:c r="K256" s="287">
        <x:f t="shared" si="118"/>
        <x:v>1022886.67991111</x:v>
      </x:c>
      <x:c r="L256" s="287">
        <x:f t="shared" si="118"/>
        <x:v>1970261.5699502002</x:v>
      </x:c>
      <x:c r="M256" s="287">
        <x:f t="shared" si="118"/>
        <x:v>1666227.2580970679</x:v>
      </x:c>
      <x:c r="N256" s="287">
        <x:f t="shared" si="118"/>
        <x:v>1330895.2964943484</x:v>
      </x:c>
      <x:c r="O256" s="287">
        <x:f t="shared" si="118"/>
        <x:v>2108368.6593213943</x:v>
      </x:c>
      <x:c r="P256" s="287">
        <x:f t="shared" si="118"/>
        <x:v>1282210.0635505463</x:v>
      </x:c>
      <x:c r="Q256" s="287">
        <x:f t="shared" si="118"/>
        <x:v>2027888.9885367416</x:v>
      </x:c>
      <x:c r="R256" s="287">
        <x:f t="shared" si="118"/>
        <x:v>1689576.2983864425</x:v>
      </x:c>
      <x:c r="S256" s="287">
        <x:f t="shared" si="118"/>
        <x:v>1592205.832498838</x:v>
      </x:c>
      <x:c r="T256" s="287">
        <x:f t="shared" si="118"/>
        <x:v>0</x:v>
      </x:c>
      <x:c r="U256" s="287">
        <x:f t="shared" si="118"/>
        <x:v>0</x:v>
      </x:c>
      <x:c r="V256" s="114">
        <x:f t="shared" si="100"/>
        <x:v>15686083.981638316</x:v>
      </x:c>
      <x:c r="W256" s="1046"/>
      <x:c r="X256" s="837"/>
    </x:row>
    <x:row r="257" spans="1:25" s="48" customFormat="1" ht="13.5">
      <x:c r="A257" s="58"/>
      <x:c r="B257" s="70"/>
      <x:c r="C257" s="240" t="s">
        <x:v>332</x:v>
      </x:c>
      <x:c r="D257" s="61"/>
      <x:c r="E257" s="71"/>
      <x:c r="F257" s="72" t="s">
        <x:v>358</x:v>
      </x:c>
      <x:c r="G257" s="62" t="s">
        <x:v>359</x:v>
      </x:c>
      <x:c r="H257" s="73">
        <x:v>1</x:v>
      </x:c>
      <x:c r="I257" s="240" t="s">
        <x:v>1089</x:v>
      </x:c>
      <x:c r="J257" s="287">
        <x:f t="shared" ref="J257:U257" si="119">+$I$234*J101*J23</x:f>
        <x:v>2069596.3818718037</x:v>
      </x:c>
      <x:c r="K257" s="287">
        <x:f t="shared" si="119"/>
        <x:v>2126396.6817734749</x:v>
      </x:c>
      <x:c r="L257" s="287">
        <x:f t="shared" si="119"/>
        <x:v>4095817.9892732403</x:v>
      </x:c>
      <x:c r="M257" s="287">
        <x:f t="shared" si="119"/>
        <x:v>3463785.5612764619</x:v>
      </x:c>
      <x:c r="N257" s="287">
        <x:f t="shared" si="119"/>
        <x:v>2766690.9715741328</x:v>
      </x:c>
      <x:c r="O257" s="287">
        <x:f t="shared" si="119"/>
        <x:v>4382917.6869580513</x:v>
      </x:c>
      <x:c r="P257" s="287">
        <x:f t="shared" si="119"/>
        <x:v>2665483.1644766093</x:v>
      </x:c>
      <x:c r="Q257" s="287">
        <x:f t="shared" si="119"/>
        <x:v>4215614.9854294918</x:v>
      </x:c>
      <x:c r="R257" s="287">
        <x:f t="shared" si="119"/>
        <x:v>3512323.9993742537</x:v>
      </x:c>
      <x:c r="S257" s="287">
        <x:f t="shared" si="119"/>
        <x:v>3309908.3851792067</x:v>
      </x:c>
      <x:c r="T257" s="287">
        <x:f t="shared" si="119"/>
        <x:v>0</x:v>
      </x:c>
      <x:c r="U257" s="287">
        <x:f t="shared" si="119"/>
        <x:v>0</x:v>
      </x:c>
      <x:c r="V257" s="117">
        <x:f t="shared" si="100"/>
        <x:v>32608535.80718673</x:v>
      </x:c>
      <x:c r="W257" s="1046"/>
      <x:c r="X257" s="837"/>
    </x:row>
    <x:row r="258" spans="1:25" s="48" customFormat="1" ht="13.5">
      <x:c r="A258" s="58"/>
      <x:c r="B258" s="70"/>
      <x:c r="C258" s="240" t="s">
        <x:v>332</x:v>
      </x:c>
      <x:c r="D258" s="240"/>
      <x:c r="E258" s="244"/>
      <x:c r="F258" s="245" t="s">
        <x:v>360</x:v>
      </x:c>
      <x:c r="G258" s="241" t="s">
        <x:v>1042</x:v>
      </x:c>
      <x:c r="H258" s="246">
        <x:v>1</x:v>
      </x:c>
      <x:c r="I258" s="240" t="s">
        <x:v>1089</x:v>
      </x:c>
      <x:c r="J258" s="287">
        <x:f t="shared" ref="J258:U258" si="120">+$I$234*J102*J24</x:f>
        <x:v>1614687.5843494171</x:v>
      </x:c>
      <x:c r="K258" s="287">
        <x:f t="shared" si="120"/>
        <x:v>1659002.8623629988</x:v>
      </x:c>
      <x:c r="L258" s="287">
        <x:f t="shared" si="120"/>
        <x:v>3195534.410943008</x:v>
      </x:c>
      <x:c r="M258" s="287">
        <x:f t="shared" si="120"/>
        <x:v>2702426.2265009703</x:v>
      </x:c>
      <x:c r="N258" s="287">
        <x:f t="shared" si="120"/>
        <x:v>2158556.9054251937</x:v>
      </x:c>
      <x:c r="O258" s="287">
        <x:f t="shared" si="120"/>
        <x:v>3419527.9979934762</x:v>
      </x:c>
      <x:c r="P258" s="287">
        <x:f t="shared" si="120"/>
        <x:v>2079595.1373282662</x:v>
      </x:c>
      <x:c r="Q258" s="287">
        <x:f t="shared" si="120"/>
        <x:v>3288999.3609352894</x:v>
      </x:c>
      <x:c r="R258" s="287">
        <x:f t="shared" si="120"/>
        <x:v>2740295.6458943947</x:v>
      </x:c>
      <x:c r="S258" s="287">
        <x:f t="shared" si="120"/>
        <x:v>2582372.1097005396</x:v>
      </x:c>
      <x:c r="T258" s="287">
        <x:f t="shared" si="120"/>
        <x:v>0</x:v>
      </x:c>
      <x:c r="U258" s="287">
        <x:f t="shared" si="120"/>
        <x:v>0</x:v>
      </x:c>
      <x:c r="V258" s="113">
        <x:f t="shared" si="100"/>
        <x:v>25440998.241433553</x:v>
      </x:c>
      <x:c r="W258" s="1046"/>
      <x:c r="X258" s="837"/>
    </x:row>
    <x:row r="259" spans="1:25" s="48" customFormat="1" ht="13.5">
      <x:c r="A259" s="58"/>
      <x:c r="B259" s="70"/>
      <x:c r="C259" s="240" t="s">
        <x:v>332</x:v>
      </x:c>
      <x:c r="D259" s="240"/>
      <x:c r="E259" s="240"/>
      <x:c r="F259" s="240" t="s">
        <x:v>361</x:v>
      </x:c>
      <x:c r="G259" s="241" t="s">
        <x:v>1043</x:v>
      </x:c>
      <x:c r="H259" s="240">
        <x:v>1</x:v>
      </x:c>
      <x:c r="I259" s="240" t="s">
        <x:v>1089</x:v>
      </x:c>
      <x:c r="J259" s="287">
        <x:f t="shared" ref="J259:U259" si="121">+$I$234*J103*J25</x:f>
        <x:v>2163431.2233583806</x:v>
      </x:c>
      <x:c r="K259" s="287">
        <x:f t="shared" si="121"/>
        <x:v>2222806.8307858813</x:v>
      </x:c>
      <x:c r="L259" s="287">
        <x:f t="shared" si="121"/>
        <x:v>4281521.0737721249</x:v>
      </x:c>
      <x:c r="M259" s="287">
        <x:f t="shared" si="121"/>
        <x:v>3620832.4965788471</x:v>
      </x:c>
      <x:c r="N259" s="287">
        <x:f t="shared" si="121"/>
        <x:v>2892131.8599686138</x:v>
      </x:c>
      <x:c r="O259" s="287">
        <x:f t="shared" si="121"/>
        <x:v>4581637.7804056723</x:v>
      </x:c>
      <x:c r="P259" s="287">
        <x:f t="shared" si="121"/>
        <x:v>2786335.3230977948</x:v>
      </x:c>
      <x:c r="Q259" s="287">
        <x:f t="shared" si="121"/>
        <x:v>4406749.6276192171</x:v>
      </x:c>
      <x:c r="R259" s="287">
        <x:f t="shared" si="121"/>
        <x:v>3671571.6520168926</x:v>
      </x:c>
      <x:c r="S259" s="287">
        <x:f t="shared" si="121"/>
        <x:v>3459978.5782752545</x:v>
      </x:c>
      <x:c r="T259" s="287">
        <x:f t="shared" si="121"/>
        <x:v>0</x:v>
      </x:c>
      <x:c r="U259" s="287">
        <x:f t="shared" si="121"/>
        <x:v>0</x:v>
      </x:c>
      <x:c r="V259" s="113">
        <x:f t="shared" si="100"/>
        <x:v>34086996.445878677</x:v>
      </x:c>
      <x:c r="W259" s="1046"/>
      <x:c r="X259" s="837"/>
    </x:row>
    <x:row r="260" spans="1:25" s="48" customFormat="1" ht="13.5">
      <x:c r="A260" s="58"/>
      <x:c r="B260" s="70"/>
      <x:c r="C260" s="240" t="s">
        <x:v>332</x:v>
      </x:c>
      <x:c r="D260" s="235"/>
      <x:c r="E260" s="235"/>
      <x:c r="F260" s="235" t="s">
        <x:v>362</x:v>
      </x:c>
      <x:c r="G260" s="236" t="s">
        <x:v>1044</x:v>
      </x:c>
      <x:c r="H260" s="235">
        <x:v>1</x:v>
      </x:c>
      <x:c r="I260" s="235" t="s">
        <x:v>1089</x:v>
      </x:c>
      <x:c r="J260" s="287">
        <x:f t="shared" ref="J260:U260" si="122">+$I$234*J104*J26</x:f>
        <x:v>2243281.1549076699</x:v>
      </x:c>
      <x:c r="K260" s="287">
        <x:f t="shared" si="122"/>
        <x:v>2304848.2524725012</x:v>
      </x:c>
      <x:c r="L260" s="287">
        <x:f t="shared" si="122"/>
        <x:v>4439547.4353112867</x:v>
      </x:c>
      <x:c r="M260" s="287">
        <x:f t="shared" si="122"/>
        <x:v>3754473.5496808011</x:v>
      </x:c>
      <x:c r="N260" s="287">
        <x:f t="shared" si="122"/>
        <x:v>2998877.3522942355</x:v>
      </x:c>
      <x:c r="O260" s="287">
        <x:f t="shared" si="122"/>
        <x:v>4750741.1284571616</x:v>
      </x:c>
      <x:c r="P260" s="287">
        <x:f t="shared" si="122"/>
        <x:v>2889175.9784514452</x:v>
      </x:c>
      <x:c r="Q260" s="287">
        <x:f t="shared" si="122"/>
        <x:v>4569398.0410843855</x:v>
      </x:c>
      <x:c r="R260" s="287">
        <x:f t="shared" si="122"/>
        <x:v>3807085.4330543843</x:v>
      </x:c>
      <x:c r="S260" s="287">
        <x:f t="shared" si="122"/>
        <x:v>3587682.6853688038</x:v>
      </x:c>
      <x:c r="T260" s="287">
        <x:f t="shared" si="122"/>
        <x:v>0</x:v>
      </x:c>
      <x:c r="U260" s="287">
        <x:f t="shared" si="122"/>
        <x:v>0</x:v>
      </x:c>
      <x:c r="V260" s="114">
        <x:f t="shared" si="100"/>
        <x:v>35345111.011082679</x:v>
      </x:c>
      <x:c r="W260" s="1046"/>
      <x:c r="X260" s="837"/>
    </x:row>
    <x:row r="261" spans="1:25" s="48" customFormat="1" ht="13.5">
      <x:c r="A261" s="58"/>
      <x:c r="B261" s="315"/>
      <x:c r="C261" s="240" t="s">
        <x:v>332</x:v>
      </x:c>
      <x:c r="D261" s="240"/>
      <x:c r="E261" s="240"/>
      <x:c r="F261" s="240" t="s">
        <x:v>351</x:v>
      </x:c>
      <x:c r="G261" s="236" t="s">
        <x:v>352</x:v>
      </x:c>
      <x:c r="H261" s="235">
        <x:v>1</x:v>
      </x:c>
      <x:c r="I261" s="235" t="s">
        <x:v>1089</x:v>
      </x:c>
      <x:c r="J261" s="287">
        <x:f t="shared" ref="J261:S261" si="123">+$I$234*J105*J27</x:f>
        <x:v>1313723.3208996952</x:v>
      </x:c>
      <x:c r="K261" s="287">
        <x:f t="shared" si="123"/>
        <x:v>1349778.6016629103</x:v>
      </x:c>
      <x:c r="L261" s="287">
        <x:f t="shared" si="123"/>
        <x:v>2599913.5183074805</x:v>
      </x:c>
      <x:c r="M261" s="287">
        <x:f t="shared" si="123"/>
        <x:v>2198716.5759967952</x:v>
      </x:c>
      <x:c r="N261" s="287">
        <x:f t="shared" si="123"/>
        <x:v>1756219.9484482452</x:v>
      </x:c>
      <x:c r="O261" s="287">
        <x:f t="shared" si="123"/>
        <x:v>2782156.5738015501</x:v>
      </x:c>
      <x:c r="P261" s="287">
        <x:f t="shared" si="123"/>
        <x:v>1691975.993633789</x:v>
      </x:c>
      <x:c r="Q261" s="287">
        <x:f t="shared" si="123"/>
        <x:v>2675957.383189898</x:v>
      </x:c>
      <x:c r="R261" s="287">
        <x:f t="shared" si="123"/>
        <x:v>2229527.452285361</x:v>
      </x:c>
      <x:c r="S261" s="287">
        <x:f t="shared" si="123"/>
        <x:v>2101039.5426564487</x:v>
      </x:c>
      <x:c r="T261" s="287">
        <x:f>+$I$234*T105*T28</x:f>
        <x:v>0</x:v>
      </x:c>
      <x:c r="U261" s="287">
        <x:f>+$I$234*U105*U28</x:f>
        <x:v>0</x:v>
      </x:c>
      <x:c r="V261" s="114">
        <x:f>SUM(J261:U261)</x:f>
        <x:v>20699008.910882171</x:v>
      </x:c>
      <x:c r="W261" s="1046"/>
      <x:c r="X261" s="837"/>
    </x:row>
    <x:row r="262" spans="1:25" s="48" customFormat="1" ht="13.5">
      <x:c r="A262" s="58"/>
      <x:c r="B262" s="289" t="s">
        <x:v>435</x:v>
      </x:c>
      <x:c r="C262" s="127"/>
      <x:c r="D262" s="127"/>
      <x:c r="E262" s="127"/>
      <x:c r="F262" s="127"/>
      <x:c r="G262" s="127"/>
      <x:c r="H262" s="290"/>
      <x:c r="I262" s="290"/>
      <x:c r="J262" s="291">
        <x:f>SUM(J249:J261)</x:f>
        <x:v>39254495.108458742</x:v>
      </x:c>
      <x:c r="K262" s="291">
        <x:f t="shared" ref="K262:U262" si="124">SUM(K249:K261)</x:f>
        <x:v>40331839.036086105</x:v>
      </x:c>
      <x:c r="L262" s="291">
        <x:f t="shared" si="124"/>
        <x:v>77686291.217638403</x:v>
      </x:c>
      <x:c r="M262" s="291">
        <x:f t="shared" si="124"/>
        <x:v>65698391.513857588</x:v>
      </x:c>
      <x:c r="N262" s="291">
        <x:f t="shared" si="124"/>
        <x:v>52476443.311158188</x:v>
      </x:c>
      <x:c r="O262" s="291">
        <x:f t="shared" si="124"/>
        <x:v>83131775.07000941</x:v>
      </x:c>
      <x:c r="P262" s="291">
        <x:f t="shared" si="124"/>
        <x:v>50556812.312840335</x:v>
      </x:c>
      <x:c r="Q262" s="291">
        <x:f t="shared" si="124"/>
        <x:v>79958507.501361564</x:v>
      </x:c>
      <x:c r="R262" s="291">
        <x:f t="shared" si="124"/>
        <x:v>66619030.870193705</x:v>
      </x:c>
      <x:c r="S262" s="291">
        <x:f t="shared" si="124"/>
        <x:v>62779768.873558022</x:v>
      </x:c>
      <x:c r="T262" s="291">
        <x:f t="shared" si="124"/>
        <x:v>0</x:v>
      </x:c>
      <x:c r="U262" s="291">
        <x:f t="shared" si="124"/>
        <x:v>0</x:v>
      </x:c>
      <x:c r="V262" s="292">
        <x:f>SUM(J262:U262)</x:f>
        <x:v>618493354.81516206</x:v>
      </x:c>
      <x:c r="W262" s="1046"/>
      <x:c r="X262" s="837">
        <x:v>618493354.81516206</x:v>
      </x:c>
      <x:c r="Y262" s="1168">
        <x:f>+V262-X262</x:f>
        <x:v>0</x:v>
      </x:c>
    </x:row>
    <x:row r="263" spans="1:25" s="48" customFormat="1" ht="13.5">
      <x:c r="A263" s="58"/>
      <x:c r="B263" s="66" t="s">
        <x:v>363</x:v>
      </x:c>
      <x:c r="C263" s="235" t="s">
        <x:v>332</x:v>
      </x:c>
      <x:c r="D263" s="235"/>
      <x:c r="E263" s="235"/>
      <x:c r="F263" s="235" t="s">
        <x:v>364</x:v>
      </x:c>
      <x:c r="G263" s="236" t="s">
        <x:v>1045</x:v>
      </x:c>
      <x:c r="H263" s="235">
        <x:v>1</x:v>
      </x:c>
      <x:c r="I263" s="235" t="s">
        <x:v>1089</x:v>
      </x:c>
      <x:c r="J263" s="287">
        <x:f t="shared" ref="J263:U263" si="125">+$I$234*J106*J28</x:f>
        <x:v>512900.19462410797</x:v>
      </x:c>
      <x:c r="K263" s="287">
        <x:f t="shared" si="125"/>
        <x:v>4403050.9015423423</x:v>
      </x:c>
      <x:c r="L263" s="287">
        <x:f t="shared" si="125"/>
        <x:v>7732956.7804865511</x:v>
      </x:c>
      <x:c r="M263" s="287">
        <x:f t="shared" si="125"/>
        <x:v>6178474.6521642543</x:v>
      </x:c>
      <x:c r="N263" s="287">
        <x:f t="shared" si="125"/>
        <x:v>4639774.0682919305</x:v>
      </x:c>
      <x:c r="O263" s="287">
        <x:f t="shared" si="125"/>
        <x:v>7922335.3138862215</x:v>
      </x:c>
      <x:c r="P263" s="287">
        <x:f t="shared" si="125"/>
        <x:v>4355706.2681924244</x:v>
      </x:c>
      <x:c r="Q263" s="287">
        <x:f t="shared" si="125"/>
        <x:v>7417325.8914871002</x:v>
      </x:c>
      <x:c r="R263" s="287">
        <x:f t="shared" si="125"/>
        <x:v>6044331.5243394878</x:v>
      </x:c>
      <x:c r="S263" s="287">
        <x:f t="shared" si="125"/>
        <x:v>6131130.0188143365</x:v>
      </x:c>
      <x:c r="T263" s="287">
        <x:f t="shared" si="125"/>
        <x:v>0</x:v>
      </x:c>
      <x:c r="U263" s="287">
        <x:f t="shared" si="125"/>
        <x:v>0</x:v>
      </x:c>
      <x:c r="V263" s="111">
        <x:f t="shared" si="100"/>
        <x:v>55337985.613828748</x:v>
      </x:c>
      <x:c r="W263" s="1046" t="s">
        <x:v>365</x:v>
      </x:c>
      <x:c r="X263" s="837"/>
    </x:row>
    <x:row r="264" spans="1:25" s="48" customFormat="1" ht="13.5">
      <x:c r="A264" s="58"/>
      <x:c r="B264" s="70"/>
      <x:c r="C264" s="235" t="s">
        <x:v>332</x:v>
      </x:c>
      <x:c r="D264" s="235"/>
      <x:c r="E264" s="235"/>
      <x:c r="F264" s="235" t="s">
        <x:v>366</x:v>
      </x:c>
      <x:c r="G264" s="236" t="s">
        <x:v>1035</x:v>
      </x:c>
      <x:c r="H264" s="235">
        <x:v>1</x:v>
      </x:c>
      <x:c r="I264" s="235" t="s">
        <x:v>1089</x:v>
      </x:c>
      <x:c r="J264" s="287">
        <x:f t="shared" ref="J264:U264" si="126">+$I$234*J107*J29</x:f>
        <x:v>86289.45</x:v>
      </x:c>
      <x:c r="K264" s="287">
        <x:f t="shared" si="126"/>
        <x:v>740761.74</x:v>
      </x:c>
      <x:c r="L264" s="287">
        <x:f t="shared" si="126"/>
        <x:v>1300979.3999999999</x:v>
      </x:c>
      <x:c r="M264" s="287">
        <x:f t="shared" si="126"/>
        <x:v>1039455.99</x:v>
      </x:c>
      <x:c r="N264" s="287">
        <x:f t="shared" si="126"/>
        <x:v>780587.64</x:v>
      </x:c>
      <x:c r="O264" s="287">
        <x:f t="shared" si="126"/>
        <x:v>1332840.1199999999</x:v>
      </x:c>
      <x:c r="P264" s="287">
        <x:f t="shared" si="126"/>
        <x:v>732796.55999999994</x:v>
      </x:c>
      <x:c r="Q264" s="287">
        <x:f t="shared" si="126"/>
        <x:v>1247878.2</x:v>
      </x:c>
      <x:c r="R264" s="287">
        <x:f t="shared" si="126"/>
        <x:v>1016887.98</x:v>
      </x:c>
      <x:c r="S264" s="287">
        <x:f t="shared" si="126"/>
        <x:v>1031490.8099999999</x:v>
      </x:c>
      <x:c r="T264" s="287">
        <x:f t="shared" si="126"/>
        <x:v>0</x:v>
      </x:c>
      <x:c r="U264" s="287">
        <x:f t="shared" si="126"/>
        <x:v>0</x:v>
      </x:c>
      <x:c r="V264" s="111">
        <x:f t="shared" si="100"/>
        <x:v>9309967.8900000006</x:v>
      </x:c>
      <x:c r="W264" s="1046"/>
      <x:c r="X264" s="837"/>
    </x:row>
    <x:row r="265" spans="1:25" s="48" customFormat="1" ht="13.5">
      <x:c r="A265" s="58"/>
      <x:c r="B265" s="70"/>
      <x:c r="C265" s="240" t="s">
        <x:v>332</x:v>
      </x:c>
      <x:c r="D265" s="240"/>
      <x:c r="E265" s="240"/>
      <x:c r="F265" s="240" t="s">
        <x:v>351</x:v>
      </x:c>
      <x:c r="G265" s="241" t="s">
        <x:v>1036</x:v>
      </x:c>
      <x:c r="H265" s="240">
        <x:v>1</x:v>
      </x:c>
      <x:c r="I265" s="240" t="s">
        <x:v>1089</x:v>
      </x:c>
      <x:c r="J265" s="287">
        <x:f t="shared" ref="J265:U265" si="127">+$I$234*J108*J30</x:f>
        <x:v>61381.834673522164</x:v>
      </x:c>
      <x:c r="K265" s="287">
        <x:f t="shared" si="127"/>
        <x:v>526939.44227423647</x:v>
      </x:c>
      <x:c r="L265" s="287">
        <x:f t="shared" si="127"/>
        <x:v>925449.19969310332</x:v>
      </x:c>
      <x:c r="M265" s="287">
        <x:f t="shared" si="127"/>
        <x:v>739415.02383642853</x:v>
      </x:c>
      <x:c r="N265" s="287">
        <x:f t="shared" si="127"/>
        <x:v>555269.51981586206</x:v>
      </x:c>
      <x:c r="O265" s="287">
        <x:f t="shared" si="127"/>
        <x:v>948113.26172640384</x:v>
      </x:c>
      <x:c r="P265" s="287">
        <x:f t="shared" si="127"/>
        <x:v>521273.42676591128</x:v>
      </x:c>
      <x:c r="Q265" s="287">
        <x:f t="shared" si="127"/>
        <x:v>887675.7629709359</x:v>
      </x:c>
      <x:c r="R265" s="287">
        <x:f t="shared" si="127"/>
        <x:v>723361.3132295073</x:v>
      </x:c>
      <x:c r="S265" s="287">
        <x:f t="shared" si="127"/>
        <x:v>733749.00832810334</x:v>
      </x:c>
      <x:c r="T265" s="287">
        <x:f t="shared" si="127"/>
        <x:v>0</x:v>
      </x:c>
      <x:c r="U265" s="287">
        <x:f t="shared" si="127"/>
        <x:v>0</x:v>
      </x:c>
      <x:c r="V265" s="113">
        <x:f t="shared" si="100"/>
        <x:v>6622627.7933140146</x:v>
      </x:c>
      <x:c r="W265" s="1046"/>
      <x:c r="X265" s="837"/>
    </x:row>
    <x:row r="266" spans="1:25" s="48" customFormat="1" ht="13.5">
      <x:c r="A266" s="58"/>
      <x:c r="B266" s="70"/>
      <x:c r="C266" s="240" t="s">
        <x:v>332</x:v>
      </x:c>
      <x:c r="D266" s="240"/>
      <x:c r="E266" s="240"/>
      <x:c r="F266" s="240" t="s">
        <x:v>353</x:v>
      </x:c>
      <x:c r="G266" s="241" t="s">
        <x:v>1037</x:v>
      </x:c>
      <x:c r="H266" s="240">
        <x:v>3</x:v>
      </x:c>
      <x:c r="I266" s="240" t="s">
        <x:v>1089</x:v>
      </x:c>
      <x:c r="J266" s="287">
        <x:f t="shared" ref="J266:U266" si="128">+$I$234*J109*J31</x:f>
        <x:v>159687.00653235355</x:v>
      </x:c>
      <x:c r="K266" s="287">
        <x:f t="shared" si="128"/>
        <x:v>1370851.5330008196</x:v>
      </x:c>
      <x:c r="L266" s="287">
        <x:f t="shared" si="128"/>
        <x:v>2407588.7138724071</x:v>
      </x:c>
      <x:c r="M266" s="287">
        <x:f t="shared" si="128"/>
        <x:v>1923614.247920505</x:v>
      </x:c>
      <x:c r="N266" s="287">
        <x:f t="shared" si="128"/>
        <x:v>1444553.2283234443</x:v>
      </x:c>
      <x:c r="O266" s="287">
        <x:f t="shared" si="128"/>
        <x:v>2466550.070130507</x:v>
      </x:c>
      <x:c r="P266" s="287">
        <x:f t="shared" si="128"/>
        <x:v>1356111.1939362946</x:v>
      </x:c>
      <x:c r="Q266" s="287">
        <x:f t="shared" si="128"/>
        <x:v>2309319.7867755741</x:v>
      </x:c>
      <x:c r="R266" s="287">
        <x:f t="shared" si="128"/>
        <x:v>1881849.953904351</x:v>
      </x:c>
      <x:c r="S266" s="287">
        <x:f t="shared" si="128"/>
        <x:v>1908873.90885598</x:v>
      </x:c>
      <x:c r="T266" s="287">
        <x:f t="shared" si="128"/>
        <x:v>0</x:v>
      </x:c>
      <x:c r="U266" s="287">
        <x:f t="shared" si="128"/>
        <x:v>0</x:v>
      </x:c>
      <x:c r="V266" s="113">
        <x:f t="shared" si="100"/>
        <x:v>17228999.643252235</x:v>
      </x:c>
      <x:c r="W266" s="1046"/>
      <x:c r="X266" s="837"/>
    </x:row>
    <x:row r="267" spans="1:25" s="48" customFormat="1" ht="13.5">
      <x:c r="A267" s="58"/>
      <x:c r="B267" s="70"/>
      <x:c r="C267" s="240" t="s">
        <x:v>332</x:v>
      </x:c>
      <x:c r="D267" s="240"/>
      <x:c r="E267" s="240"/>
      <x:c r="F267" s="240" t="s">
        <x:v>354</x:v>
      </x:c>
      <x:c r="G267" s="241" t="s">
        <x:v>1038</x:v>
      </x:c>
      <x:c r="H267" s="240">
        <x:v>1</x:v>
      </x:c>
      <x:c r="I267" s="240" t="s">
        <x:v>1089</x:v>
      </x:c>
      <x:c r="J267" s="287">
        <x:f t="shared" ref="J267:U267" si="129">+$I$234*J110*J32</x:f>
        <x:v>72436.262621810136</x:v>
      </x:c>
      <x:c r="K267" s="287">
        <x:f t="shared" si="129"/>
        <x:v>621837.4545072316</x:v>
      </x:c>
      <x:c r="L267" s="287">
        <x:f t="shared" si="129"/>
        <x:v>1092115.9595288297</x:v>
      </x:c>
      <x:c r="M267" s="287">
        <x:f t="shared" si="129"/>
        <x:v>872578.3635827282</x:v>
      </x:c>
      <x:c r="N267" s="287">
        <x:f t="shared" si="129"/>
        <x:v>655269.57571729773</x:v>
      </x:c>
      <x:c r="O267" s="287">
        <x:f t="shared" si="129"/>
        <x:v>1118861.6564968827</x:v>
      </x:c>
      <x:c r="P267" s="287">
        <x:f t="shared" si="129"/>
        <x:v>615151.03026521835</x:v>
      </x:c>
      <x:c r="Q267" s="287">
        <x:f t="shared" si="129"/>
        <x:v>1047539.797915408</x:v>
      </x:c>
      <x:c r="R267" s="287">
        <x:f t="shared" si="129"/>
        <x:v>853633.49489702401</x:v>
      </x:c>
      <x:c r="S267" s="287">
        <x:f t="shared" si="129"/>
        <x:v>865891.93934071495</x:v>
      </x:c>
      <x:c r="T267" s="287">
        <x:f t="shared" si="129"/>
        <x:v>0</x:v>
      </x:c>
      <x:c r="U267" s="287">
        <x:f t="shared" si="129"/>
        <x:v>0</x:v>
      </x:c>
      <x:c r="V267" s="114">
        <x:f t="shared" si="100"/>
        <x:v>7815315.5348731466</x:v>
      </x:c>
      <x:c r="W267" s="1046"/>
      <x:c r="X267" s="837"/>
    </x:row>
    <x:row r="268" spans="1:25" s="48" customFormat="1" ht="13.5">
      <x:c r="A268" s="58"/>
      <x:c r="B268" s="70"/>
      <x:c r="C268" s="240" t="s">
        <x:v>332</x:v>
      </x:c>
      <x:c r="D268" s="240"/>
      <x:c r="E268" s="240"/>
      <x:c r="F268" s="240" t="s">
        <x:v>355</x:v>
      </x:c>
      <x:c r="G268" s="241" t="s">
        <x:v>1039</x:v>
      </x:c>
      <x:c r="H268" s="240">
        <x:v>1</x:v>
      </x:c>
      <x:c r="I268" s="240" t="s">
        <x:v>1089</x:v>
      </x:c>
      <x:c r="J268" s="287">
        <x:f t="shared" ref="J268:U268" si="130">+$I$234*J111*J33</x:f>
        <x:v>49119.767512362487</x:v>
      </x:c>
      <x:c r="K268" s="287">
        <x:f t="shared" si="130"/>
        <x:v>421674.31187535793</x:v>
      </x:c>
      <x:c r="L268" s="287">
        <x:f t="shared" si="130"/>
        <x:v>740574.95634023438</x:v>
      </x:c>
      <x:c r="M268" s="287">
        <x:f t="shared" si="130"/>
        <x:v>591704.27634122805</x:v>
      </x:c>
      <x:c r="N268" s="287">
        <x:f t="shared" si="130"/>
        <x:v>444344.97380414064</x:v>
      </x:c>
      <x:c r="O268" s="287">
        <x:f t="shared" si="130"/>
        <x:v>758711.4858832605</x:v>
      </x:c>
      <x:c r="P268" s="287">
        <x:f t="shared" si="130"/>
        <x:v>417140.1794896014</x:v>
      </x:c>
      <x:c r="Q268" s="287">
        <x:f t="shared" si="130"/>
        <x:v>710347.40710185748</x:v>
      </x:c>
      <x:c r="R268" s="287">
        <x:f t="shared" si="130"/>
        <x:v>578857.56791491795</x:v>
      </x:c>
      <x:c r="S268" s="287">
        <x:f t="shared" si="130"/>
        <x:v>587170.14395547158</x:v>
      </x:c>
      <x:c r="T268" s="287">
        <x:f t="shared" si="130"/>
        <x:v>0</x:v>
      </x:c>
      <x:c r="U268" s="287">
        <x:f t="shared" si="130"/>
        <x:v>0</x:v>
      </x:c>
      <x:c r="V268" s="114">
        <x:f t="shared" si="100"/>
        <x:v>5299645.0702184327</x:v>
      </x:c>
      <x:c r="W268" s="1046"/>
      <x:c r="X268" s="837"/>
    </x:row>
    <x:row r="269" spans="1:25" s="48" customFormat="1" ht="13.5">
      <x:c r="A269" s="58"/>
      <x:c r="B269" s="70"/>
      <x:c r="C269" s="240" t="s">
        <x:v>332</x:v>
      </x:c>
      <x:c r="D269" s="240"/>
      <x:c r="E269" s="240"/>
      <x:c r="F269" s="240" t="s">
        <x:v>356</x:v>
      </x:c>
      <x:c r="G269" s="241" t="s">
        <x:v>1040</x:v>
      </x:c>
      <x:c r="H269" s="240">
        <x:v>1</x:v>
      </x:c>
      <x:c r="I269" s="240" t="s">
        <x:v>1089</x:v>
      </x:c>
      <x:c r="J269" s="287">
        <x:f t="shared" ref="J269:U269" si="131">+$I$234*J112*J34</x:f>
        <x:v>60809.941949227876</x:v>
      </x:c>
      <x:c r="K269" s="287">
        <x:f t="shared" si="131"/>
        <x:v>522029.96319491003</x:v>
      </x:c>
      <x:c r="L269" s="287">
        <x:f t="shared" si="131"/>
        <x:v>916826.81708066643</x:v>
      </x:c>
      <x:c r="M269" s="287">
        <x:f t="shared" si="131"/>
        <x:v>732525.91609608347</x:v>
      </x:c>
      <x:c r="N269" s="287">
        <x:f t="shared" si="131"/>
        <x:v>550096.09024839988</x:v>
      </x:c>
      <x:c r="O269" s="287">
        <x:f t="shared" si="131"/>
        <x:v>939279.71872345824</x:v>
      </x:c>
      <x:c r="P269" s="287">
        <x:f t="shared" si="131"/>
        <x:v>516416.73778421211</x:v>
      </x:c>
      <x:c r="Q269" s="287">
        <x:f t="shared" si="131"/>
        <x:v>879405.31434268004</x:v>
      </x:c>
      <x:c r="R269" s="287">
        <x:f t="shared" si="131"/>
        <x:v>716621.77743243927</x:v>
      </x:c>
      <x:c r="S269" s="287">
        <x:f t="shared" si="131"/>
        <x:v>726912.69068538549</x:v>
      </x:c>
      <x:c r="T269" s="287">
        <x:f t="shared" si="131"/>
        <x:v>0</x:v>
      </x:c>
      <x:c r="U269" s="287">
        <x:f t="shared" si="131"/>
        <x:v>0</x:v>
      </x:c>
      <x:c r="V269" s="114">
        <x:f t="shared" si="100"/>
        <x:v>6560924.9675374636</x:v>
      </x:c>
      <x:c r="W269" s="1046"/>
      <x:c r="X269" s="837"/>
    </x:row>
    <x:row r="270" spans="1:25" s="48" customFormat="1" ht="13.5">
      <x:c r="A270" s="58"/>
      <x:c r="B270" s="70"/>
      <x:c r="C270" s="240" t="s">
        <x:v>332</x:v>
      </x:c>
      <x:c r="D270" s="235"/>
      <x:c r="E270" s="235"/>
      <x:c r="F270" s="235" t="s">
        <x:v>357</x:v>
      </x:c>
      <x:c r="G270" s="236" t="s">
        <x:v>1041</x:v>
      </x:c>
      <x:c r="H270" s="235">
        <x:v>1</x:v>
      </x:c>
      <x:c r="I270" s="235" t="s">
        <x:v>1089</x:v>
      </x:c>
      <x:c r="J270" s="287">
        <x:f t="shared" ref="J270:U270" si="132">+$I$234*J113*J35</x:f>
        <x:v>32291.225932113717</x:v>
      </x:c>
      <x:c r="K270" s="287">
        <x:f t="shared" si="132"/>
        <x:v>277207.75492491468</x:v>
      </x:c>
      <x:c r="L270" s="287">
        <x:f t="shared" si="132"/>
        <x:v>486852.32943802222</x:v>
      </x:c>
      <x:c r="M270" s="287">
        <x:f t="shared" si="132"/>
        <x:v>388985.0754591545</x:v>
      </x:c>
      <x:c r="N270" s="287">
        <x:f t="shared" si="132"/>
        <x:v>292111.39766281331</x:v>
      </x:c>
      <x:c r="O270" s="287">
        <x:f t="shared" si="132"/>
        <x:v>498775.24362834112</x:v>
      </x:c>
      <x:c r="P270" s="287">
        <x:f t="shared" si="132"/>
        <x:v>274227.02637733496</x:v>
      </x:c>
      <x:c r="Q270" s="287">
        <x:f t="shared" si="132"/>
        <x:v>466980.80578749068</x:v>
      </x:c>
      <x:c r="R270" s="287">
        <x:f t="shared" si="132"/>
        <x:v>380539.67790767859</x:v>
      </x:c>
      <x:c r="S270" s="287">
        <x:f t="shared" si="132"/>
        <x:v>386004.34691157477</x:v>
      </x:c>
      <x:c r="T270" s="287">
        <x:f t="shared" si="132"/>
        <x:v>0</x:v>
      </x:c>
      <x:c r="U270" s="287">
        <x:f t="shared" si="132"/>
        <x:v>0</x:v>
      </x:c>
      <x:c r="V270" s="114">
        <x:f t="shared" si="100"/>
        <x:v>3483974.8840294383</x:v>
      </x:c>
      <x:c r="W270" s="1046"/>
      <x:c r="X270" s="837"/>
    </x:row>
    <x:row r="271" spans="1:25" s="48" customFormat="1" ht="13.5">
      <x:c r="A271" s="58"/>
      <x:c r="B271" s="70"/>
      <x:c r="C271" s="240" t="s">
        <x:v>332</x:v>
      </x:c>
      <x:c r="D271" s="61"/>
      <x:c r="E271" s="71"/>
      <x:c r="F271" s="72" t="s">
        <x:v>358</x:v>
      </x:c>
      <x:c r="G271" s="62" t="s">
        <x:v>359</x:v>
      </x:c>
      <x:c r="H271" s="73">
        <x:v>1</x:v>
      </x:c>
      <x:c r="I271" s="240" t="s">
        <x:v>1089</x:v>
      </x:c>
      <x:c r="J271" s="287">
        <x:f t="shared" ref="J271:U271" si="133">+$I$234*J114*J36</x:f>
        <x:v>67127.627156520583</x:v>
      </x:c>
      <x:c r="K271" s="287">
        <x:f t="shared" si="133"/>
        <x:v>576264.86082059203</x:v>
      </x:c>
      <x:c r="L271" s="287">
        <x:f t="shared" si="133"/>
        <x:v>1012078.0709752333</x:v>
      </x:c>
      <x:c r="M271" s="287">
        <x:f t="shared" si="133"/>
        <x:v>808629.72405470174</x:v>
      </x:c>
      <x:c r="N271" s="287">
        <x:f t="shared" si="133"/>
        <x:v>607246.84258514002</x:v>
      </x:c>
      <x:c r="O271" s="287">
        <x:f t="shared" si="133"/>
        <x:v>1036863.6563868717</x:v>
      </x:c>
      <x:c r="P271" s="287">
        <x:f t="shared" si="133"/>
        <x:v>570068.46446768241</x:v>
      </x:c>
      <x:c r="Q271" s="287">
        <x:f t="shared" si="133"/>
        <x:v>970768.76195583609</x:v>
      </x:c>
      <x:c r="R271" s="287">
        <x:f t="shared" si="133"/>
        <x:v>791073.26772145787</x:v>
      </x:c>
      <x:c r="S271" s="287">
        <x:f t="shared" si="133"/>
        <x:v>802433.32770179212</x:v>
      </x:c>
      <x:c r="T271" s="287">
        <x:f t="shared" si="133"/>
        <x:v>0</x:v>
      </x:c>
      <x:c r="U271" s="287">
        <x:f t="shared" si="133"/>
        <x:v>0</x:v>
      </x:c>
      <x:c r="V271" s="117">
        <x:f t="shared" si="100"/>
        <x:v>7242554.6038258281</x:v>
      </x:c>
      <x:c r="W271" s="1046"/>
      <x:c r="X271" s="837"/>
    </x:row>
    <x:row r="272" spans="1:25" s="48" customFormat="1" ht="13.5">
      <x:c r="A272" s="58"/>
      <x:c r="B272" s="70"/>
      <x:c r="C272" s="240" t="s">
        <x:v>332</x:v>
      </x:c>
      <x:c r="D272" s="240"/>
      <x:c r="E272" s="244"/>
      <x:c r="F272" s="245" t="s">
        <x:v>360</x:v>
      </x:c>
      <x:c r="G272" s="241" t="s">
        <x:v>1042</x:v>
      </x:c>
      <x:c r="H272" s="246">
        <x:v>1</x:v>
      </x:c>
      <x:c r="I272" s="240" t="s">
        <x:v>1089</x:v>
      </x:c>
      <x:c r="J272" s="287">
        <x:f t="shared" ref="J272:U272" si="134">+$I$234*J115*J37</x:f>
        <x:v>52372.601288778496</x:v>
      </x:c>
      <x:c r="K272" s="287">
        <x:f t="shared" si="134"/>
        <x:v>449598.63875597541</x:v>
      </x:c>
      <x:c r="L272" s="287">
        <x:f t="shared" si="134"/>
        <x:v>789617.68096927577</x:v>
      </x:c>
      <x:c r="M272" s="287">
        <x:f t="shared" si="134"/>
        <x:v>630888.41244790098</x:v>
      </x:c>
      <x:c r="N272" s="287">
        <x:f t="shared" si="134"/>
        <x:v>473770.6085815655</x:v>
      </x:c>
      <x:c r="O272" s="287">
        <x:f t="shared" si="134"/>
        <x:v>808955.25682974781</x:v>
      </x:c>
      <x:c r="P272" s="287">
        <x:f t="shared" si="134"/>
        <x:v>444764.24479085737</x:v>
      </x:c>
      <x:c r="Q272" s="287">
        <x:f t="shared" si="134"/>
        <x:v>757388.38786848902</x:v>
      </x:c>
      <x:c r="R272" s="287">
        <x:f t="shared" si="134"/>
        <x:v>617190.9628800666</x:v>
      </x:c>
      <x:c r="S272" s="287">
        <x:f t="shared" si="134"/>
        <x:v>626054.01848278299</x:v>
      </x:c>
      <x:c r="T272" s="287">
        <x:f t="shared" si="134"/>
        <x:v>0</x:v>
      </x:c>
      <x:c r="U272" s="287">
        <x:f t="shared" si="134"/>
        <x:v>0</x:v>
      </x:c>
      <x:c r="V272" s="113">
        <x:f t="shared" si="100"/>
        <x:v>5650600.8128954396</x:v>
      </x:c>
      <x:c r="W272" s="1046"/>
      <x:c r="X272" s="837"/>
    </x:row>
    <x:row r="273" spans="1:25" s="48" customFormat="1" ht="13.5">
      <x:c r="A273" s="76"/>
      <x:c r="B273" s="70"/>
      <x:c r="C273" s="240" t="s">
        <x:v>332</x:v>
      </x:c>
      <x:c r="D273" s="240"/>
      <x:c r="E273" s="240"/>
      <x:c r="F273" s="240" t="s">
        <x:v>361</x:v>
      </x:c>
      <x:c r="G273" s="241" t="s">
        <x:v>1043</x:v>
      </x:c>
      <x:c r="H273" s="240">
        <x:v>1</x:v>
      </x:c>
      <x:c r="I273" s="240" t="s">
        <x:v>1089</x:v>
      </x:c>
      <x:c r="J273" s="287">
        <x:f t="shared" ref="J273:U273" si="135">+$I$234*J116*J38</x:f>
        <x:v>70171.172414318731</x:v>
      </x:c>
      <x:c r="K273" s="287">
        <x:f t="shared" si="135"/>
        <x:v>602392.52626445936</x:v>
      </x:c>
      <x:c r="L273" s="287">
        <x:f t="shared" si="135"/>
        <x:v>1057965.3687081903</x:v>
      </x:c>
      <x:c r="M273" s="287">
        <x:f t="shared" si="135"/>
        <x:v>845292.73846787028</x:v>
      </x:c>
      <x:c r="N273" s="287">
        <x:f t="shared" si="135"/>
        <x:v>634779.22122491407</x:v>
      </x:c>
      <x:c r="O273" s="287">
        <x:f t="shared" si="135"/>
        <x:v>1083874.7246765541</x:v>
      </x:c>
      <x:c r="P273" s="287">
        <x:f t="shared" si="135"/>
        <x:v>595915.18727236835</x:v>
      </x:c>
      <x:c r="Q273" s="287">
        <x:f t="shared" si="135"/>
        <x:v>1014783.1087609171</x:v>
      </x:c>
      <x:c r="R273" s="287">
        <x:f t="shared" si="135"/>
        <x:v>826940.27799027925</x:v>
      </x:c>
      <x:c r="S273" s="287">
        <x:f t="shared" si="135"/>
        <x:v>838815.39947577938</x:v>
      </x:c>
      <x:c r="T273" s="287">
        <x:f t="shared" si="135"/>
        <x:v>0</x:v>
      </x:c>
      <x:c r="U273" s="287">
        <x:f t="shared" si="135"/>
        <x:v>0</x:v>
      </x:c>
      <x:c r="V273" s="113">
        <x:f t="shared" si="100"/>
        <x:v>7570929.7252556514</x:v>
      </x:c>
      <x:c r="W273" s="1046"/>
      <x:c r="X273" s="837"/>
    </x:row>
    <x:row r="274" spans="1:25" s="48" customFormat="1" ht="13.5">
      <x:c r="A274" s="76"/>
      <x:c r="B274" s="70"/>
      <x:c r="C274" s="240" t="s">
        <x:v>332</x:v>
      </x:c>
      <x:c r="D274" s="240"/>
      <x:c r="E274" s="240"/>
      <x:c r="F274" s="240" t="s">
        <x:v>362</x:v>
      </x:c>
      <x:c r="G274" s="241" t="s">
        <x:v>1044</x:v>
      </x:c>
      <x:c r="H274" s="235">
        <x:v>1</x:v>
      </x:c>
      <x:c r="I274" s="240" t="s">
        <x:v>1089</x:v>
      </x:c>
      <x:c r="J274" s="287">
        <x:f t="shared" ref="J274:U274" si="136">+$I$234*J117*J39</x:f>
        <x:v>72761.115303891493</x:v>
      </x:c>
      <x:c r="K274" s="287">
        <x:f t="shared" si="136"/>
        <x:v>624626.18983956077</x:v>
      </x:c>
      <x:c r="L274" s="287">
        <x:f t="shared" si="136"/>
        <x:v>1097013.7384279026</x:v>
      </x:c>
      <x:c r="M274" s="287">
        <x:f t="shared" si="136"/>
        <x:v>876491.58896841598</x:v>
      </x:c>
      <x:c r="N274" s="287">
        <x:f t="shared" si="136"/>
        <x:v>658208.24305674154</x:v>
      </x:c>
      <x:c r="O274" s="287">
        <x:f t="shared" si="136"/>
        <x:v>1123879.3810016471</x:v>
      </x:c>
      <x:c r="P274" s="287">
        <x:f t="shared" si="136"/>
        <x:v>617909.77919612464</x:v>
      </x:c>
      <x:c r="Q274" s="287">
        <x:f t="shared" si="136"/>
        <x:v>1052237.6674716617</x:v>
      </x:c>
      <x:c r="R274" s="287">
        <x:f t="shared" si="136"/>
        <x:v>857461.75881201355</x:v>
      </x:c>
      <x:c r="S274" s="287">
        <x:f t="shared" si="136"/>
        <x:v>869775.17832497985</x:v>
      </x:c>
      <x:c r="T274" s="287">
        <x:f t="shared" si="136"/>
        <x:v>0</x:v>
      </x:c>
      <x:c r="U274" s="287">
        <x:f t="shared" si="136"/>
        <x:v>0</x:v>
      </x:c>
      <x:c r="V274" s="114">
        <x:f t="shared" si="100"/>
        <x:v>7850364.6404029401</x:v>
      </x:c>
      <x:c r="W274" s="1046"/>
      <x:c r="X274" s="837"/>
    </x:row>
    <x:row r="275" spans="1:25" s="48" customFormat="1" ht="13.5">
      <x:c r="A275" s="76"/>
      <x:c r="B275" s="75"/>
      <x:c r="C275" s="240" t="s">
        <x:v>332</x:v>
      </x:c>
      <x:c r="D275" s="240"/>
      <x:c r="E275" s="240"/>
      <x:c r="F275" s="240" t="s">
        <x:v>351</x:v>
      </x:c>
      <x:c r="G275" s="241" t="s">
        <x:v>352</x:v>
      </x:c>
      <x:c r="H275" s="240">
        <x:v>1</x:v>
      </x:c>
      <x:c r="I275" s="240" t="s">
        <x:v>1089</x:v>
      </x:c>
      <x:c r="J275" s="287">
        <x:f t="shared" ref="J275:U275" si="137">+$I$234*J118*J40</x:f>
        <x:v>42610.786356527038</x:v>
      </x:c>
      <x:c r="K275" s="287">
        <x:f t="shared" si="137"/>
        <x:v>365797.21210680134</x:v>
      </x:c>
      <x:c r="L275" s="287">
        <x:f t="shared" si="137"/>
        <x:v>642439.54814456159</x:v>
      </x:c>
      <x:c r="M275" s="287">
        <x:f t="shared" si="137"/>
        <x:v>513296.08795631805</x:v>
      </x:c>
      <x:c r="N275" s="287">
        <x:f t="shared" si="137"/>
        <x:v>385463.72888673691</x:v>
      </x:c>
      <x:c r="O275" s="287">
        <x:f t="shared" si="137"/>
        <x:v>658172.76156850997</x:v>
      </x:c>
      <x:c r="P275" s="287">
        <x:f t="shared" si="137"/>
        <x:v>361863.90875081444</x:v>
      </x:c>
      <x:c r="Q275" s="287">
        <x:f t="shared" si="137"/>
        <x:v>616217.52577131439</x:v>
      </x:c>
      <x:c r="R275" s="287">
        <x:f t="shared" si="137"/>
        <x:v>502151.72844768816</x:v>
      </x:c>
      <x:c r="S275" s="287">
        <x:f t="shared" si="137"/>
        <x:v>509362.78460033122</x:v>
      </x:c>
      <x:c r="T275" s="287">
        <x:f t="shared" si="137"/>
        <x:v>0</x:v>
      </x:c>
      <x:c r="U275" s="287">
        <x:f t="shared" si="137"/>
        <x:v>0</x:v>
      </x:c>
      <x:c r="V275" s="114">
        <x:f>SUM(J275:U275)</x:f>
        <x:v>4597376.0725896033</x:v>
      </x:c>
      <x:c r="W275" s="1046"/>
      <x:c r="X275" s="837"/>
    </x:row>
    <x:row r="276" spans="1:25" s="48" customFormat="1" ht="13.5">
      <x:c r="A276" s="76"/>
      <x:c r="B276" s="293" t="s">
        <x:v>435</x:v>
      </x:c>
      <x:c r="C276" s="127"/>
      <x:c r="D276" s="127"/>
      <x:c r="E276" s="127"/>
      <x:c r="F276" s="127"/>
      <x:c r="G276" s="127"/>
      <x:c r="H276" s="290"/>
      <x:c r="I276" s="290"/>
      <x:c r="J276" s="291">
        <x:f>SUM(J263:J275)</x:f>
        <x:v>1339958.9863655341</x:v>
      </x:c>
      <x:c r="K276" s="291">
        <x:f t="shared" ref="K276:U276" si="138">SUM(K263:K275)</x:f>
        <x:v>11503032.5291072</x:v>
      </x:c>
      <x:c r="L276" s="291">
        <x:f t="shared" si="138"/>
        <x:v>20202458.563664977</x:v>
      </x:c>
      <x:c r="M276" s="291">
        <x:f t="shared" si="138"/>
        <x:v>16141352.097295592</x:v>
      </x:c>
      <x:c r="N276" s="291">
        <x:f t="shared" si="138"/>
        <x:v>12121475.138198985</x:v>
      </x:c>
      <x:c r="O276" s="291">
        <x:f t="shared" si="138"/>
        <x:v>20697212.650938399</x:v>
      </x:c>
      <x:c r="P276" s="291">
        <x:f t="shared" si="138"/>
        <x:v>11379344.007288845</x:v>
      </x:c>
      <x:c r="Q276" s="291">
        <x:f t="shared" si="138"/>
        <x:v>19377868.418209266</x:v>
      </x:c>
      <x:c r="R276" s="291">
        <x:f t="shared" si="138"/>
        <x:v>15790901.285476916</x:v>
      </x:c>
      <x:c r="S276" s="291">
        <x:f t="shared" si="138"/>
        <x:v>16017663.575477233</x:v>
      </x:c>
      <x:c r="T276" s="291">
        <x:f t="shared" si="138"/>
        <x:v>0</x:v>
      </x:c>
      <x:c r="U276" s="291">
        <x:f t="shared" si="138"/>
        <x:v>0</x:v>
      </x:c>
      <x:c r="V276" s="292">
        <x:f>SUM(J276:U276)</x:f>
        <x:v>144571267.25202295</x:v>
      </x:c>
      <x:c r="W276" s="1046"/>
      <x:c r="X276" s="837">
        <x:v>144571267.25202295</x:v>
      </x:c>
      <x:c r="Y276" s="1168">
        <x:f>+V276-X276</x:f>
        <x:v>0</x:v>
      </x:c>
    </x:row>
    <x:row r="277" spans="1:25" s="48" customFormat="1" ht="13.5">
      <x:c r="A277" s="76"/>
      <x:c r="B277" s="70" t="s">
        <x:v>367</x:v>
      </x:c>
      <x:c r="C277" s="67" t="s">
        <x:v>332</x:v>
      </x:c>
      <x:c r="D277" s="67"/>
      <x:c r="E277" s="67"/>
      <x:c r="F277" s="67" t="s">
        <x:v>368</x:v>
      </x:c>
      <x:c r="G277" s="68" t="s">
        <x:v>369</x:v>
      </x:c>
      <x:c r="H277" s="67">
        <x:v>2</x:v>
      </x:c>
      <x:c r="I277" s="67" t="s">
        <x:v>1089</x:v>
      </x:c>
      <x:c r="J277" s="284">
        <x:f>+$I$234*J119*J41</x:f>
        <x:v>4105707.2639999995</x:v>
      </x:c>
      <x:c r="K277" s="284">
        <x:f t="shared" ref="K277:U277" si="139">+$I$234*K119*K41</x:f>
        <x:v>6158560.8959999997</x:v>
      </x:c>
      <x:c r="L277" s="284">
        <x:f t="shared" si="139"/>
        <x:v>0</x:v>
      </x:c>
      <x:c r="M277" s="284">
        <x:f t="shared" si="139"/>
        <x:v>0</x:v>
      </x:c>
      <x:c r="N277" s="284">
        <x:f t="shared" si="139"/>
        <x:v>0</x:v>
      </x:c>
      <x:c r="O277" s="284">
        <x:f t="shared" si="139"/>
        <x:v>0</x:v>
      </x:c>
      <x:c r="P277" s="284">
        <x:f t="shared" si="139"/>
        <x:v>0</x:v>
      </x:c>
      <x:c r="Q277" s="284">
        <x:f t="shared" si="139"/>
        <x:v>0</x:v>
      </x:c>
      <x:c r="R277" s="284">
        <x:f t="shared" si="139"/>
        <x:v>0</x:v>
      </x:c>
      <x:c r="S277" s="284">
        <x:f t="shared" si="139"/>
        <x:v>0</x:v>
      </x:c>
      <x:c r="T277" s="284">
        <x:f t="shared" si="139"/>
        <x:v>0</x:v>
      </x:c>
      <x:c r="U277" s="284">
        <x:f t="shared" si="139"/>
        <x:v>0</x:v>
      </x:c>
      <x:c r="V277" s="118">
        <x:f t="shared" si="100"/>
        <x:v>10264268.16</x:v>
      </x:c>
      <x:c r="W277" s="1052"/>
      <x:c r="X277" s="837"/>
    </x:row>
    <x:row r="278" spans="1:25" s="48" customFormat="1" ht="13.5">
      <x:c r="A278" s="76"/>
      <x:c r="B278" s="70"/>
      <x:c r="C278" s="1165" t="s">
        <x:v>332</x:v>
      </x:c>
      <x:c r="D278" s="1135"/>
      <x:c r="E278" s="1135"/>
      <x:c r="F278" s="1135" t="str">
        <x:f t="shared" ref="F278:I279" si="140">F277</x:f>
        <x:v>BUS BAR ASY - ARRAY 4 POS TO ARRAY 5 NEG</x:v>
      </x:c>
      <x:c r="G278" s="1136" t="s">
        <x:v>369</x:v>
      </x:c>
      <x:c r="H278" s="1135">
        <x:v>1</x:v>
      </x:c>
      <x:c r="I278" s="1135" t="str">
        <x:f t="shared" si="140"/>
        <x:v>터키 현지 외주</x:v>
      </x:c>
      <x:c r="J278" s="1162">
        <x:f t="shared" ref="J278:U278" si="141">+$I$234*J120*J42</x:f>
        <x:v>0</x:v>
      </x:c>
      <x:c r="K278" s="1162">
        <x:f t="shared" si="141"/>
        <x:v>0</x:v>
      </x:c>
      <x:c r="L278" s="1162">
        <x:f t="shared" si="141"/>
        <x:v>2394995.9039999996</x:v>
      </x:c>
      <x:c r="M278" s="1162">
        <x:f t="shared" si="141"/>
        <x:v>2052853.6319999998</x:v>
      </x:c>
      <x:c r="N278" s="1162">
        <x:f t="shared" si="141"/>
        <x:v>2737138.176</x:v>
      </x:c>
      <x:c r="O278" s="1162">
        <x:f t="shared" si="141"/>
        <x:v>3079280.4479999999</x:v>
      </x:c>
      <x:c r="P278" s="1162">
        <x:f t="shared" si="141"/>
        <x:v>2052853.6319999998</x:v>
      </x:c>
      <x:c r="Q278" s="1162">
        <x:f t="shared" si="141"/>
        <x:v>2737138.176</x:v>
      </x:c>
      <x:c r="R278" s="1162">
        <x:f t="shared" si="141"/>
        <x:v>2737138.176</x:v>
      </x:c>
      <x:c r="S278" s="1162">
        <x:f t="shared" si="141"/>
        <x:v>1818818.8139999998</x:v>
      </x:c>
      <x:c r="T278" s="1162">
        <x:f t="shared" si="141"/>
        <x:v>2527457.2349999999</x:v>
      </x:c>
      <x:c r="U278" s="1162">
        <x:f t="shared" si="141"/>
        <x:v>2492411.412</x:v>
      </x:c>
      <x:c r="V278" s="118">
        <x:f t="shared" si="100"/>
        <x:v>24630085.604999997</x:v>
      </x:c>
      <x:c r="W278" s="1052"/>
      <x:c r="X278" s="837"/>
    </x:row>
    <x:row r="279" spans="1:25" s="48" customFormat="1" ht="13.5">
      <x:c r="A279" s="76"/>
      <x:c r="B279" s="70"/>
      <x:c r="C279" s="1165" t="s">
        <x:v>332</x:v>
      </x:c>
      <x:c r="D279" s="1135"/>
      <x:c r="E279" s="1135"/>
      <x:c r="F279" s="1135" t="str">
        <x:f t="shared" si="140"/>
        <x:v>BUS BAR ASY - ARRAY 4 POS TO ARRAY 5 NEG</x:v>
      </x:c>
      <x:c r="G279" s="1136" t="s">
        <x:v>1517</x:v>
      </x:c>
      <x:c r="H279" s="1135">
        <x:v>1</x:v>
      </x:c>
      <x:c r="I279" s="1135" t="str">
        <x:f t="shared" si="140"/>
        <x:v>터키 현지 외주</x:v>
      </x:c>
      <x:c r="J279" s="1162">
        <x:f t="shared" ref="J279:U279" si="142">+$I$234*J121*J43</x:f>
        <x:v>0</x:v>
      </x:c>
      <x:c r="K279" s="1162">
        <x:f t="shared" si="142"/>
        <x:v>0</x:v>
      </x:c>
      <x:c r="L279" s="1162">
        <x:f t="shared" si="142"/>
        <x:v>3209915.52</x:v>
      </x:c>
      <x:c r="M279" s="1162">
        <x:f t="shared" si="142"/>
        <x:v>2751356.16</x:v>
      </x:c>
      <x:c r="N279" s="1162">
        <x:f t="shared" si="142"/>
        <x:v>3668474.88</x:v>
      </x:c>
      <x:c r="O279" s="1162">
        <x:f t="shared" si="142"/>
        <x:v>4127034.24</x:v>
      </x:c>
      <x:c r="P279" s="1162">
        <x:f t="shared" si="142"/>
        <x:v>2751356.16</x:v>
      </x:c>
      <x:c r="Q279" s="1162">
        <x:f t="shared" si="142"/>
        <x:v>3668474.88</x:v>
      </x:c>
      <x:c r="R279" s="1162">
        <x:f t="shared" si="142"/>
        <x:v>3668474.88</x:v>
      </x:c>
      <x:c r="S279" s="1162">
        <x:f t="shared" si="142"/>
        <x:v>2437688.8199999998</x:v>
      </x:c>
      <x:c r="T279" s="1162">
        <x:f t="shared" si="142"/>
        <x:v>3387448.0500000003</x:v>
      </x:c>
      <x:c r="U279" s="1162">
        <x:f t="shared" si="142"/>
        <x:v>3340477.56</x:v>
      </x:c>
      <x:c r="V279" s="118">
        <x:f t="shared" si="100"/>
        <x:v>33010701.149999999</x:v>
      </x:c>
      <x:c r="W279" s="1052"/>
      <x:c r="X279" s="837"/>
    </x:row>
    <x:row r="280" spans="1:25" s="48" customFormat="1" ht="13.5">
      <x:c r="A280" s="76"/>
      <x:c r="B280" s="70"/>
      <x:c r="C280" s="235" t="s">
        <x:v>332</x:v>
      </x:c>
      <x:c r="D280" s="235"/>
      <x:c r="E280" s="235"/>
      <x:c r="F280" s="235" t="s">
        <x:v>370</x:v>
      </x:c>
      <x:c r="G280" s="236" t="s">
        <x:v>371</x:v>
      </x:c>
      <x:c r="H280" s="235">
        <x:v>2</x:v>
      </x:c>
      <x:c r="I280" s="235" t="s">
        <x:v>1089</x:v>
      </x:c>
      <x:c r="J280" s="284">
        <x:f>+$I$234*J122*J44</x:f>
        <x:v>4597990.2719999999</x:v>
      </x:c>
      <x:c r="K280" s="284">
        <x:f t="shared" ref="K280:U280" si="143">+$I$234*K122*K44</x:f>
        <x:v>6896985.4079999998</x:v>
      </x:c>
      <x:c r="L280" s="284">
        <x:f t="shared" si="143"/>
        <x:v>0</x:v>
      </x:c>
      <x:c r="M280" s="284">
        <x:f t="shared" si="143"/>
        <x:v>0</x:v>
      </x:c>
      <x:c r="N280" s="284">
        <x:f t="shared" si="143"/>
        <x:v>0</x:v>
      </x:c>
      <x:c r="O280" s="284">
        <x:f t="shared" si="143"/>
        <x:v>0</x:v>
      </x:c>
      <x:c r="P280" s="284">
        <x:f t="shared" si="143"/>
        <x:v>0</x:v>
      </x:c>
      <x:c r="Q280" s="284">
        <x:f t="shared" si="143"/>
        <x:v>0</x:v>
      </x:c>
      <x:c r="R280" s="284">
        <x:f t="shared" si="143"/>
        <x:v>0</x:v>
      </x:c>
      <x:c r="S280" s="284">
        <x:f t="shared" si="143"/>
        <x:v>0</x:v>
      </x:c>
      <x:c r="T280" s="284">
        <x:f t="shared" si="143"/>
        <x:v>0</x:v>
      </x:c>
      <x:c r="U280" s="284">
        <x:f t="shared" si="143"/>
        <x:v>0</x:v>
      </x:c>
      <x:c r="V280" s="114">
        <x:f t="shared" si="100"/>
        <x:v>11494975.68</x:v>
      </x:c>
      <x:c r="W280" s="1046"/>
      <x:c r="X280" s="837"/>
    </x:row>
    <x:row r="281" spans="1:25" s="48" customFormat="1" ht="13.5">
      <x:c r="A281" s="76"/>
      <x:c r="B281" s="70"/>
      <x:c r="C281" s="1165" t="s">
        <x:v>332</x:v>
      </x:c>
      <x:c r="D281" s="1143"/>
      <x:c r="E281" s="1143"/>
      <x:c r="F281" s="1143" t="str">
        <x:f t="shared" ref="F281:I281" si="144">F280</x:f>
        <x:v>BUS BAR ASY – COMMON BUSBAR ARRAY 3-2, 2-1</x:v>
      </x:c>
      <x:c r="G281" s="1144" t="str">
        <x:f t="shared" si="144"/>
        <x:v>S2X8-14A033-EC</x:v>
      </x:c>
      <x:c r="H281" s="1143">
        <x:f t="shared" si="144"/>
        <x:v>2</x:v>
      </x:c>
      <x:c r="I281" s="1142" t="str">
        <x:f t="shared" si="144"/>
        <x:v>터키 현지 외주</x:v>
      </x:c>
      <x:c r="J281" s="1162">
        <x:f t="shared" ref="J281:U281" si="145">+$I$234*J123*J45</x:f>
        <x:v>0</x:v>
      </x:c>
      <x:c r="K281" s="1162">
        <x:f t="shared" si="145"/>
        <x:v>0</x:v>
      </x:c>
      <x:c r="L281" s="1162">
        <x:f t="shared" si="145"/>
        <x:v>7402752</x:v>
      </x:c>
      <x:c r="M281" s="1162">
        <x:f t="shared" si="145"/>
        <x:v>6345216</x:v>
      </x:c>
      <x:c r="N281" s="1162">
        <x:f t="shared" si="145"/>
        <x:v>8460288</x:v>
      </x:c>
      <x:c r="O281" s="1162">
        <x:f t="shared" si="145"/>
        <x:v>9517824</x:v>
      </x:c>
      <x:c r="P281" s="1162">
        <x:f t="shared" si="145"/>
        <x:v>6345216</x:v>
      </x:c>
      <x:c r="Q281" s="1162">
        <x:f t="shared" si="145"/>
        <x:v>8460288</x:v>
      </x:c>
      <x:c r="R281" s="1162">
        <x:f t="shared" si="145"/>
        <x:v>8460288</x:v>
      </x:c>
      <x:c r="S281" s="1162">
        <x:f t="shared" si="145"/>
        <x:v>5621832</x:v>
      </x:c>
      <x:c r="T281" s="1162">
        <x:f t="shared" si="145"/>
        <x:v>7812180</x:v>
      </x:c>
      <x:c r="U281" s="1162">
        <x:f t="shared" si="145"/>
        <x:v>7703856</x:v>
      </x:c>
      <x:c r="V281" s="1161">
        <x:f t="shared" si="100"/>
        <x:v>76129740</x:v>
      </x:c>
      <x:c r="W281" s="1046"/>
      <x:c r="X281" s="837"/>
    </x:row>
    <x:row r="282" spans="1:25" s="48" customFormat="1" ht="13.5">
      <x:c r="A282" s="76"/>
      <x:c r="B282" s="70"/>
      <x:c r="C282" s="1143" t="s">
        <x:v>332</x:v>
      </x:c>
      <x:c r="D282" s="1143"/>
      <x:c r="E282" s="1153"/>
      <x:c r="F282" s="1154" t="s">
        <x:v>372</x:v>
      </x:c>
      <x:c r="G282" s="1144" t="s">
        <x:v>373</x:v>
      </x:c>
      <x:c r="H282" s="1155">
        <x:v>1</x:v>
      </x:c>
      <x:c r="I282" s="240" t="s">
        <x:v>1089</x:v>
      </x:c>
      <x:c r="J282" s="284">
        <x:f t="shared" ref="J282:U282" si="146">+$I$234*J124*J46</x:f>
        <x:v>1805037.6959999998</x:v>
      </x:c>
      <x:c r="K282" s="284">
        <x:f t="shared" si="146"/>
        <x:v>2707556.5439999998</x:v>
      </x:c>
      <x:c r="L282" s="284">
        <x:f t="shared" si="146"/>
        <x:v>0</x:v>
      </x:c>
      <x:c r="M282" s="284">
        <x:f t="shared" si="146"/>
        <x:v>0</x:v>
      </x:c>
      <x:c r="N282" s="284">
        <x:f t="shared" si="146"/>
        <x:v>0</x:v>
      </x:c>
      <x:c r="O282" s="284">
        <x:f t="shared" si="146"/>
        <x:v>0</x:v>
      </x:c>
      <x:c r="P282" s="284">
        <x:f t="shared" si="146"/>
        <x:v>0</x:v>
      </x:c>
      <x:c r="Q282" s="284">
        <x:f t="shared" si="146"/>
        <x:v>0</x:v>
      </x:c>
      <x:c r="R282" s="284">
        <x:f t="shared" si="146"/>
        <x:v>0</x:v>
      </x:c>
      <x:c r="S282" s="284">
        <x:f t="shared" si="146"/>
        <x:v>0</x:v>
      </x:c>
      <x:c r="T282" s="284">
        <x:f t="shared" si="146"/>
        <x:v>0</x:v>
      </x:c>
      <x:c r="U282" s="284">
        <x:f t="shared" si="146"/>
        <x:v>0</x:v>
      </x:c>
      <x:c r="V282" s="1161">
        <x:f t="shared" si="100"/>
        <x:v>4512594.2399999993</x:v>
      </x:c>
      <x:c r="W282" s="1046"/>
      <x:c r="X282" s="837"/>
    </x:row>
    <x:row r="283" spans="1:25" s="48" customFormat="1" ht="13.5">
      <x:c r="A283" s="76"/>
      <x:c r="B283" s="70"/>
      <x:c r="C283" s="1165" t="s">
        <x:v>332</x:v>
      </x:c>
      <x:c r="D283" s="61"/>
      <x:c r="E283" s="71"/>
      <x:c r="F283" s="72" t="str">
        <x:f t="shared" ref="F283:I283" si="147">F282</x:f>
        <x:v>BUS BAR ASY – POS BEC TO ARRAY 6 POS </x:v>
      </x:c>
      <x:c r="G283" s="62" t="str">
        <x:f t="shared" si="147"/>
        <x:v>S2X8-14A033-AC</x:v>
      </x:c>
      <x:c r="H283" s="73">
        <x:f t="shared" si="147"/>
        <x:v>1</x:v>
      </x:c>
      <x:c r="I283" s="1142" t="str">
        <x:f t="shared" si="147"/>
        <x:v>터키 현지 외주</x:v>
      </x:c>
      <x:c r="J283" s="1162">
        <x:f t="shared" ref="J283:U283" si="148">+$I$234*J125*J47</x:f>
        <x:v>0</x:v>
      </x:c>
      <x:c r="K283" s="1162">
        <x:f t="shared" si="148"/>
        <x:v>0</x:v>
      </x:c>
      <x:c r="L283" s="1162">
        <x:f t="shared" si="148"/>
        <x:v>2969326.0799999996</x:v>
      </x:c>
      <x:c r="M283" s="1162">
        <x:f t="shared" si="148"/>
        <x:v>2545136.6399999997</x:v>
      </x:c>
      <x:c r="N283" s="1162">
        <x:f t="shared" si="148"/>
        <x:v>3393515.5199999996</x:v>
      </x:c>
      <x:c r="O283" s="1162">
        <x:f t="shared" si="148"/>
        <x:v>3817704.9599999995</x:v>
      </x:c>
      <x:c r="P283" s="1162">
        <x:f t="shared" si="148"/>
        <x:v>2545136.6399999997</x:v>
      </x:c>
      <x:c r="Q283" s="1162">
        <x:f t="shared" si="148"/>
        <x:v>3393515.5199999996</x:v>
      </x:c>
      <x:c r="R283" s="1162">
        <x:f t="shared" si="148"/>
        <x:v>3393515.5199999996</x:v>
      </x:c>
      <x:c r="S283" s="1162">
        <x:f t="shared" si="148"/>
        <x:v>2254979.2799999998</x:v>
      </x:c>
      <x:c r="T283" s="1162">
        <x:f t="shared" si="148"/>
        <x:v>3133552.1999999997</x:v>
      </x:c>
      <x:c r="U283" s="1162">
        <x:f t="shared" si="148"/>
        <x:v>3090102.2399999998</x:v>
      </x:c>
      <x:c r="V283" s="117">
        <x:f>SUM(J283:U283)</x:f>
        <x:v>30536484.599999994</x:v>
      </x:c>
      <x:c r="W283" s="1149"/>
      <x:c r="X283" s="837"/>
    </x:row>
    <x:row r="284" spans="1:25" s="48" customFormat="1" ht="13.5">
      <x:c r="A284" s="76"/>
      <x:c r="B284" s="70"/>
      <x:c r="C284" s="240" t="s">
        <x:v>332</x:v>
      </x:c>
      <x:c r="D284" s="240"/>
      <x:c r="E284" s="244"/>
      <x:c r="F284" s="245" t="s">
        <x:v>374</x:v>
      </x:c>
      <x:c r="G284" s="241" t="s">
        <x:v>375</x:v>
      </x:c>
      <x:c r="H284" s="246">
        <x:v>1</x:v>
      </x:c>
      <x:c r="I284" s="240" t="s">
        <x:v>1089</x:v>
      </x:c>
      <x:c r="J284" s="284">
        <x:f t="shared" ref="J284:U284" si="149">+$I$234*J126*J48</x:f>
        <x:v>1168753.5360000001</x:v>
      </x:c>
      <x:c r="K284" s="284">
        <x:f t="shared" si="149"/>
        <x:v>1753130.3040000002</x:v>
      </x:c>
      <x:c r="L284" s="284">
        <x:f t="shared" si="149"/>
        <x:v>1363545.7920000001</x:v>
      </x:c>
      <x:c r="M284" s="284">
        <x:f t="shared" si="149"/>
        <x:v>1168753.5360000001</x:v>
      </x:c>
      <x:c r="N284" s="284">
        <x:f t="shared" si="149"/>
        <x:v>1558338.0480000002</x:v>
      </x:c>
      <x:c r="O284" s="284">
        <x:f t="shared" si="149"/>
        <x:v>1753130.3040000002</x:v>
      </x:c>
      <x:c r="P284" s="284">
        <x:f t="shared" si="149"/>
        <x:v>1168753.5360000001</x:v>
      </x:c>
      <x:c r="Q284" s="284">
        <x:f t="shared" si="149"/>
        <x:v>1558338.0480000002</x:v>
      </x:c>
      <x:c r="R284" s="284">
        <x:f t="shared" si="149"/>
        <x:v>1558338.0480000002</x:v>
      </x:c>
      <x:c r="S284" s="284">
        <x:f t="shared" si="149"/>
        <x:v>1035510.2220000001</x:v>
      </x:c>
      <x:c r="T284" s="284">
        <x:f t="shared" si="149"/>
        <x:v>1438960.1550000003</x:v>
      </x:c>
      <x:c r="U284" s="284">
        <x:f t="shared" si="149"/>
        <x:v>1419007.4760000003</x:v>
      </x:c>
      <x:c r="V284" s="113">
        <x:f t="shared" si="100"/>
        <x:v>16944559.005000003</x:v>
      </x:c>
      <x:c r="W284" s="1053"/>
      <x:c r="X284" s="837"/>
    </x:row>
    <x:row r="285" spans="1:25" s="48" customFormat="1" ht="13.5">
      <x:c r="A285" s="76"/>
      <x:c r="B285" s="70"/>
      <x:c r="C285" s="240" t="s">
        <x:v>332</x:v>
      </x:c>
      <x:c r="D285" s="235"/>
      <x:c r="E285" s="244"/>
      <x:c r="F285" s="245" t="s">
        <x:v>376</x:v>
      </x:c>
      <x:c r="G285" s="241" t="s">
        <x:v>377</x:v>
      </x:c>
      <x:c r="H285" s="246">
        <x:v>1</x:v>
      </x:c>
      <x:c r="I285" s="240" t="s">
        <x:v>1089</x:v>
      </x:c>
      <x:c r="J285" s="284">
        <x:f t="shared" ref="J285:U285" si="150">+$I$234*J127*J49</x:f>
        <x:v>2062900.2239999999</x:v>
      </x:c>
      <x:c r="K285" s="284">
        <x:f t="shared" si="150"/>
        <x:v>3094350.3360000001</x:v>
      </x:c>
      <x:c r="L285" s="284">
        <x:f t="shared" si="150"/>
        <x:v>2406716.9279999998</x:v>
      </x:c>
      <x:c r="M285" s="284">
        <x:f t="shared" si="150"/>
        <x:v>2062900.2239999999</x:v>
      </x:c>
      <x:c r="N285" s="284">
        <x:f t="shared" si="150"/>
        <x:v>2750533.6320000002</x:v>
      </x:c>
      <x:c r="O285" s="284">
        <x:f t="shared" si="150"/>
        <x:v>3094350.3360000001</x:v>
      </x:c>
      <x:c r="P285" s="284">
        <x:f t="shared" si="150"/>
        <x:v>2062900.2239999999</x:v>
      </x:c>
      <x:c r="Q285" s="284">
        <x:f t="shared" si="150"/>
        <x:v>2750533.6320000002</x:v>
      </x:c>
      <x:c r="R285" s="284">
        <x:f t="shared" si="150"/>
        <x:v>2750533.6320000002</x:v>
      </x:c>
      <x:c r="S285" s="284">
        <x:f t="shared" si="150"/>
        <x:v>1827720.048</x:v>
      </x:c>
      <x:c r="T285" s="284">
        <x:f t="shared" si="150"/>
        <x:v>2539826.52</x:v>
      </x:c>
      <x:c r="U285" s="284">
        <x:f t="shared" si="150"/>
        <x:v>2504609.1839999999</x:v>
      </x:c>
      <x:c r="V285" s="113">
        <x:f t="shared" si="100"/>
        <x:v>29907874.919999998</x:v>
      </x:c>
      <x:c r="W285" s="1053"/>
      <x:c r="X285" s="837"/>
    </x:row>
    <x:row r="286" spans="1:25" s="48" customFormat="1" ht="13.5">
      <x:c r="A286" s="76"/>
      <x:c r="B286" s="70"/>
      <x:c r="C286" s="240" t="s">
        <x:v>332</x:v>
      </x:c>
      <x:c r="D286" s="240"/>
      <x:c r="E286" s="240"/>
      <x:c r="F286" s="240" t="s">
        <x:v>378</x:v>
      </x:c>
      <x:c r="G286" s="241" t="s">
        <x:v>379</x:v>
      </x:c>
      <x:c r="H286" s="246">
        <x:v>1</x:v>
      </x:c>
      <x:c r="I286" s="240" t="s">
        <x:v>1089</x:v>
      </x:c>
      <x:c r="J286" s="284">
        <x:f t="shared" ref="J286:U286" si="151">+$I$234*J128*J50</x:f>
        <x:v>1152009.2159999998</x:v>
      </x:c>
      <x:c r="K286" s="284">
        <x:f t="shared" si="151"/>
        <x:v>1728013.8239999998</x:v>
      </x:c>
      <x:c r="L286" s="284">
        <x:f t="shared" si="151"/>
        <x:v>0</x:v>
      </x:c>
      <x:c r="M286" s="284">
        <x:f t="shared" si="151"/>
        <x:v>0</x:v>
      </x:c>
      <x:c r="N286" s="284">
        <x:f t="shared" si="151"/>
        <x:v>0</x:v>
      </x:c>
      <x:c r="O286" s="284">
        <x:f t="shared" si="151"/>
        <x:v>0</x:v>
      </x:c>
      <x:c r="P286" s="284">
        <x:f t="shared" si="151"/>
        <x:v>0</x:v>
      </x:c>
      <x:c r="Q286" s="284">
        <x:f t="shared" si="151"/>
        <x:v>0</x:v>
      </x:c>
      <x:c r="R286" s="284">
        <x:f t="shared" si="151"/>
        <x:v>0</x:v>
      </x:c>
      <x:c r="S286" s="284">
        <x:f t="shared" si="151"/>
        <x:v>0</x:v>
      </x:c>
      <x:c r="T286" s="284">
        <x:f t="shared" si="151"/>
        <x:v>0</x:v>
      </x:c>
      <x:c r="U286" s="284">
        <x:f t="shared" si="151"/>
        <x:v>0</x:v>
      </x:c>
      <x:c r="V286" s="114">
        <x:f t="shared" si="100"/>
        <x:v>2880023.0399999996</x:v>
      </x:c>
      <x:c r="W286" s="1055"/>
      <x:c r="X286" s="837"/>
    </x:row>
    <x:row r="287" spans="1:25" s="48" customFormat="1" ht="13.5">
      <x:c r="A287" s="76"/>
      <x:c r="B287" s="70"/>
      <x:c r="C287" s="1165" t="s">
        <x:v>332</x:v>
      </x:c>
      <x:c r="D287" s="1142"/>
      <x:c r="E287" s="1142"/>
      <x:c r="F287" s="1142" t="str">
        <x:f>+F286</x:f>
        <x:v>BUS BAR ASY – ARRAY 1 NEG TO NEG BEC</x:v>
      </x:c>
      <x:c r="G287" s="1150" t="str">
        <x:f t="shared" ref="G287:I287" si="152">+G286</x:f>
        <x:v>S2X8-14A033-GC</x:v>
      </x:c>
      <x:c r="H287" s="1151">
        <x:f t="shared" si="152"/>
        <x:v>1</x:v>
      </x:c>
      <x:c r="I287" s="1142" t="str">
        <x:f t="shared" si="152"/>
        <x:v>터키 현지 외주</x:v>
      </x:c>
      <x:c r="J287" s="1162">
        <x:f t="shared" ref="J287:U287" si="153">+$I$234*J129*J51</x:f>
        <x:v>0</x:v>
      </x:c>
      <x:c r="K287" s="1162">
        <x:f t="shared" si="153"/>
        <x:v>0</x:v>
      </x:c>
      <x:c r="L287" s="1162">
        <x:f>+$I$234*L129*L51</x:f>
        <x:v>2015193.6</x:v>
      </x:c>
      <x:c r="M287" s="1162">
        <x:f t="shared" si="153"/>
        <x:v>1727308.8</x:v>
      </x:c>
      <x:c r="N287" s="1162">
        <x:f t="shared" si="153"/>
        <x:v>2303078.3999999999</x:v>
      </x:c>
      <x:c r="O287" s="1162">
        <x:f t="shared" si="153"/>
        <x:v>2590963.2000000002</x:v>
      </x:c>
      <x:c r="P287" s="1162">
        <x:f t="shared" si="153"/>
        <x:v>1727308.8</x:v>
      </x:c>
      <x:c r="Q287" s="1162">
        <x:f t="shared" si="153"/>
        <x:v>2303078.3999999999</x:v>
      </x:c>
      <x:c r="R287" s="1162">
        <x:f t="shared" si="153"/>
        <x:v>2303078.3999999999</x:v>
      </x:c>
      <x:c r="S287" s="1162">
        <x:f t="shared" si="153"/>
        <x:v>1530387.6</x:v>
      </x:c>
      <x:c r="T287" s="1162">
        <x:f t="shared" si="153"/>
        <x:v>2126649</x:v>
      </x:c>
      <x:c r="U287" s="1162">
        <x:f t="shared" si="153"/>
        <x:v>2097160.8000000003</x:v>
      </x:c>
      <x:c r="V287" s="1161">
        <x:f>SUM(J287:U287)</x:f>
        <x:v>20724207.000000004</x:v>
      </x:c>
      <x:c r="W287" s="1152"/>
      <x:c r="X287" s="837"/>
    </x:row>
    <x:row r="288" spans="1:25" s="48" customFormat="1" ht="13.5">
      <x:c r="A288" s="76"/>
      <x:c r="B288" s="70"/>
      <x:c r="C288" s="240" t="s">
        <x:v>332</x:v>
      </x:c>
      <x:c r="D288" s="235"/>
      <x:c r="E288" s="235"/>
      <x:c r="F288" s="235" t="s">
        <x:v>380</x:v>
      </x:c>
      <x:c r="G288" s="236" t="s">
        <x:v>381</x:v>
      </x:c>
      <x:c r="H288" s="246">
        <x:v>1</x:v>
      </x:c>
      <x:c r="I288" s="235" t="s">
        <x:v>1089</x:v>
      </x:c>
      <x:c r="J288" s="284">
        <x:f t="shared" ref="J288:U288" si="154">+$I$234*J130*J52</x:f>
        <x:v>2329134.912</x:v>
      </x:c>
      <x:c r="K288" s="284">
        <x:f t="shared" si="154"/>
        <x:v>3493702.3679999998</x:v>
      </x:c>
      <x:c r="L288" s="284">
        <x:f t="shared" si="154"/>
        <x:v>2717324.0639999998</x:v>
      </x:c>
      <x:c r="M288" s="284">
        <x:f t="shared" si="154"/>
        <x:v>2329134.912</x:v>
      </x:c>
      <x:c r="N288" s="284">
        <x:f t="shared" si="154"/>
        <x:v>3105513.216</x:v>
      </x:c>
      <x:c r="O288" s="284">
        <x:f t="shared" si="154"/>
        <x:v>3493702.3679999998</x:v>
      </x:c>
      <x:c r="P288" s="284">
        <x:f t="shared" si="154"/>
        <x:v>2329134.912</x:v>
      </x:c>
      <x:c r="Q288" s="284">
        <x:f t="shared" si="154"/>
        <x:v>3105513.216</x:v>
      </x:c>
      <x:c r="R288" s="284">
        <x:f t="shared" si="154"/>
        <x:v>3105513.216</x:v>
      </x:c>
      <x:c r="S288" s="284">
        <x:f t="shared" si="154"/>
        <x:v>2063602.7489999998</x:v>
      </x:c>
      <x:c r="T288" s="284">
        <x:f t="shared" si="154"/>
        <x:v>2867612.5724999998</x:v>
      </x:c>
      <x:c r="U288" s="284">
        <x:f t="shared" si="154"/>
        <x:v>2827850.142</x:v>
      </x:c>
      <x:c r="V288" s="114">
        <x:f t="shared" si="100"/>
        <x:v>33767738.647499993</x:v>
      </x:c>
      <x:c r="W288" s="1055"/>
      <x:c r="X288" s="837"/>
    </x:row>
    <x:row r="289" spans="1:25" s="48" customFormat="1" ht="13.5">
      <x:c r="A289" s="76"/>
      <x:c r="B289" s="75"/>
      <x:c r="C289" s="235" t="s">
        <x:v>332</x:v>
      </x:c>
      <x:c r="D289" s="235"/>
      <x:c r="E289" s="247"/>
      <x:c r="F289" s="248" t="s">
        <x:v>382</x:v>
      </x:c>
      <x:c r="G289" s="236" t="s">
        <x:v>383</x:v>
      </x:c>
      <x:c r="H289" s="249">
        <x:v>1</x:v>
      </x:c>
      <x:c r="I289" s="235" t="s">
        <x:v>1089</x:v>
      </x:c>
      <x:c r="J289" s="284">
        <x:f t="shared" ref="J289:U289" si="155">+$I$234*J131*J53</x:f>
        <x:v>1666059.8399999999</x:v>
      </x:c>
      <x:c r="K289" s="284">
        <x:f t="shared" si="155"/>
        <x:v>2499089.7599999998</x:v>
      </x:c>
      <x:c r="L289" s="284">
        <x:f t="shared" si="155"/>
        <x:v>1943736.4799999997</x:v>
      </x:c>
      <x:c r="M289" s="284">
        <x:f t="shared" si="155"/>
        <x:v>1666059.8399999999</x:v>
      </x:c>
      <x:c r="N289" s="284">
        <x:f t="shared" si="155"/>
        <x:v>2221413.1199999996</x:v>
      </x:c>
      <x:c r="O289" s="284">
        <x:f t="shared" si="155"/>
        <x:v>2499089.7599999998</x:v>
      </x:c>
      <x:c r="P289" s="284">
        <x:f t="shared" si="155"/>
        <x:v>1666059.8399999999</x:v>
      </x:c>
      <x:c r="Q289" s="284">
        <x:f t="shared" si="155"/>
        <x:v>2221413.1199999996</x:v>
      </x:c>
      <x:c r="R289" s="284">
        <x:f t="shared" si="155"/>
        <x:v>2221413.1199999996</x:v>
      </x:c>
      <x:c r="S289" s="284">
        <x:f t="shared" si="155"/>
        <x:v>1476121.3049999997</x:v>
      </x:c>
      <x:c r="T289" s="284">
        <x:f t="shared" si="155"/>
        <x:v>2051239.7624999997</x:v>
      </x:c>
      <x:c r="U289" s="284">
        <x:f t="shared" si="155"/>
        <x:v>2022797.1899999997</x:v>
      </x:c>
      <x:c r="V289" s="114">
        <x:f t="shared" si="100"/>
        <x:v>24154493.137499999</x:v>
      </x:c>
      <x:c r="W289" s="1061"/>
      <x:c r="X289" s="837"/>
    </x:row>
    <x:row r="290" spans="1:25" s="48" customFormat="1" ht="13.5">
      <x:c r="A290" s="76"/>
      <x:c r="B290" s="293" t="s">
        <x:v>435</x:v>
      </x:c>
      <x:c r="C290" s="127"/>
      <x:c r="D290" s="127"/>
      <x:c r="E290" s="127"/>
      <x:c r="F290" s="127"/>
      <x:c r="G290" s="127"/>
      <x:c r="H290" s="290"/>
      <x:c r="I290" s="290"/>
      <x:c r="J290" s="291">
        <x:f>SUM(J277:J289)</x:f>
        <x:v>18887592.959999997</x:v>
      </x:c>
      <x:c r="K290" s="291">
        <x:f t="shared" ref="K290:U290" si="156">SUM(K277:K289)</x:f>
        <x:v>28331389.439999998</x:v>
      </x:c>
      <x:c r="L290" s="291">
        <x:f t="shared" si="156"/>
        <x:v>26423506.368000001</x:v>
      </x:c>
      <x:c r="M290" s="291">
        <x:f t="shared" si="156"/>
        <x:v>22648719.744000003</x:v>
      </x:c>
      <x:c r="N290" s="291">
        <x:f t="shared" si="156"/>
        <x:v>30198292.991999995</x:v>
      </x:c>
      <x:c r="O290" s="291">
        <x:f t="shared" si="156"/>
        <x:v>33973079.616000004</x:v>
      </x:c>
      <x:c r="P290" s="291">
        <x:f t="shared" si="156"/>
        <x:v>22648719.744000003</x:v>
      </x:c>
      <x:c r="Q290" s="291">
        <x:f t="shared" si="156"/>
        <x:v>30198292.991999995</x:v>
      </x:c>
      <x:c r="R290" s="291">
        <x:f t="shared" si="156"/>
        <x:v>30198292.991999995</x:v>
      </x:c>
      <x:c r="S290" s="291">
        <x:f t="shared" si="156"/>
        <x:v>20066660.838</x:v>
      </x:c>
      <x:c r="T290" s="291">
        <x:f t="shared" si="156"/>
        <x:v>27884925.495000001</x:v>
      </x:c>
      <x:c r="U290" s="291">
        <x:f t="shared" si="156"/>
        <x:v>27498272.004000004</x:v>
      </x:c>
      <x:c r="V290" s="128">
        <x:f>SUM(J290:U290)</x:f>
        <x:v>318957745.185</x:v>
      </x:c>
      <x:c r="W290" s="1056"/>
      <x:c r="X290" s="837">
        <x:v>273831841.80000001</x:v>
      </x:c>
      <x:c r="Y290" s="1168">
        <x:f>+V290-X290</x:f>
        <x:v>45125903.38499999</x:v>
      </x:c>
    </x:row>
    <x:row r="291" spans="1:25" s="48" customFormat="1" ht="13.5">
      <x:c r="A291" s="76"/>
      <x:c r="B291" s="70" t="s">
        <x:v>384</x:v>
      </x:c>
      <x:c r="C291" s="240"/>
      <x:c r="D291" s="235" t="s">
        <x:v>332</x:v>
      </x:c>
      <x:c r="E291" s="247"/>
      <x:c r="F291" s="248" t="s">
        <x:v>385</x:v>
      </x:c>
      <x:c r="G291" s="236" t="s">
        <x:v>386</x:v>
      </x:c>
      <x:c r="H291" s="249">
        <x:v>1</x:v>
      </x:c>
      <x:c r="I291" s="235" t="s">
        <x:v>387</x:v>
      </x:c>
      <x:c r="J291" s="284">
        <x:f t="shared" ref="J291:U291" si="157">+$I$234*J132*J54</x:f>
        <x:v>220320</x:v>
      </x:c>
      <x:c r="K291" s="284">
        <x:f t="shared" si="157"/>
        <x:v>330480</x:v>
      </x:c>
      <x:c r="L291" s="284">
        <x:f t="shared" si="157"/>
        <x:v>257040</x:v>
      </x:c>
      <x:c r="M291" s="284">
        <x:f t="shared" si="157"/>
        <x:v>220320</x:v>
      </x:c>
      <x:c r="N291" s="284">
        <x:f t="shared" si="157"/>
        <x:v>293760</x:v>
      </x:c>
      <x:c r="O291" s="284">
        <x:f t="shared" si="157"/>
        <x:v>330480</x:v>
      </x:c>
      <x:c r="P291" s="284">
        <x:f t="shared" si="157"/>
        <x:v>220320</x:v>
      </x:c>
      <x:c r="Q291" s="284">
        <x:f t="shared" si="157"/>
        <x:v>293760</x:v>
      </x:c>
      <x:c r="R291" s="284">
        <x:f t="shared" si="157"/>
        <x:v>293760</x:v>
      </x:c>
      <x:c r="S291" s="284">
        <x:f t="shared" si="157"/>
        <x:v>195202.5</x:v>
      </x:c>
      <x:c r="T291" s="284">
        <x:f t="shared" si="157"/>
        <x:v>271256.25</x:v>
      </x:c>
      <x:c r="U291" s="284">
        <x:f t="shared" si="157"/>
        <x:v>267495</x:v>
      </x:c>
      <x:c r="V291" s="114">
        <x:f t="shared" si="100"/>
        <x:v>3194193.75</x:v>
      </x:c>
      <x:c r="W291" s="1056"/>
      <x:c r="X291" s="837"/>
    </x:row>
    <x:row r="292" spans="1:25" s="48" customFormat="1" ht="13.5">
      <x:c r="A292" s="76"/>
      <x:c r="B292" s="70" t="s">
        <x:v>388</x:v>
      </x:c>
      <x:c r="C292" s="240"/>
      <x:c r="D292" s="235" t="s">
        <x:v>332</x:v>
      </x:c>
      <x:c r="E292" s="247"/>
      <x:c r="F292" s="248" t="s">
        <x:v>389</x:v>
      </x:c>
      <x:c r="G292" s="236" t="s">
        <x:v>390</x:v>
      </x:c>
      <x:c r="H292" s="249">
        <x:v>1</x:v>
      </x:c>
      <x:c r="I292" s="235" t="s">
        <x:v>387</x:v>
      </x:c>
      <x:c r="J292" s="284">
        <x:f t="shared" ref="J292:U292" si="158">+$I$234*J133*J55</x:f>
        <x:v>259096.32000000001</x:v>
      </x:c>
      <x:c r="K292" s="284">
        <x:f t="shared" si="158"/>
        <x:v>388644.48</x:v>
      </x:c>
      <x:c r="L292" s="284">
        <x:f t="shared" si="158"/>
        <x:v>302279.03999999998</x:v>
      </x:c>
      <x:c r="M292" s="284">
        <x:f t="shared" si="158"/>
        <x:v>259096.32000000001</x:v>
      </x:c>
      <x:c r="N292" s="284">
        <x:f t="shared" si="158"/>
        <x:v>345461.76000000001</x:v>
      </x:c>
      <x:c r="O292" s="284">
        <x:f t="shared" si="158"/>
        <x:v>388644.48</x:v>
      </x:c>
      <x:c r="P292" s="284">
        <x:f t="shared" si="158"/>
        <x:v>259096.32000000001</x:v>
      </x:c>
      <x:c r="Q292" s="284">
        <x:f t="shared" si="158"/>
        <x:v>345461.76000000001</x:v>
      </x:c>
      <x:c r="R292" s="284">
        <x:f t="shared" si="158"/>
        <x:v>345461.76000000001</x:v>
      </x:c>
      <x:c r="S292" s="284">
        <x:f t="shared" si="158"/>
        <x:v>229558.13999999998</x:v>
      </x:c>
      <x:c r="T292" s="284">
        <x:f t="shared" si="158"/>
        <x:v>318997.34999999998</x:v>
      </x:c>
      <x:c r="U292" s="284">
        <x:f t="shared" si="158"/>
        <x:v>314574.12</x:v>
      </x:c>
      <x:c r="V292" s="114">
        <x:f t="shared" si="100"/>
        <x:v>3756371.8500000006</x:v>
      </x:c>
      <x:c r="W292" s="1056"/>
      <x:c r="X292" s="837"/>
    </x:row>
    <x:row r="293" spans="1:25">
      <x:c r="A293" s="76"/>
      <x:c r="B293" s="70"/>
      <x:c r="C293" s="240"/>
      <x:c r="D293" s="235" t="s">
        <x:v>332</x:v>
      </x:c>
      <x:c r="E293" s="247"/>
      <x:c r="F293" s="248" t="s">
        <x:v>391</x:v>
      </x:c>
      <x:c r="G293" s="236" t="s">
        <x:v>392</x:v>
      </x:c>
      <x:c r="H293" s="249">
        <x:v>2</x:v>
      </x:c>
      <x:c r="I293" s="235" t="s">
        <x:v>387</x:v>
      </x:c>
      <x:c r="J293" s="284">
        <x:f t="shared" ref="J293:U293" si="159">+$I$234*J134*J56</x:f>
        <x:v>391288.32000000007</x:v>
      </x:c>
      <x:c r="K293" s="284">
        <x:f t="shared" si="159"/>
        <x:v>586932.4800000001</x:v>
      </x:c>
      <x:c r="L293" s="284">
        <x:f t="shared" si="159"/>
        <x:v>456503.04000000004</x:v>
      </x:c>
      <x:c r="M293" s="284">
        <x:f t="shared" si="159"/>
        <x:v>391288.32000000007</x:v>
      </x:c>
      <x:c r="N293" s="284">
        <x:f t="shared" si="159"/>
        <x:v>521717.76000000007</x:v>
      </x:c>
      <x:c r="O293" s="284">
        <x:f t="shared" si="159"/>
        <x:v>586932.4800000001</x:v>
      </x:c>
      <x:c r="P293" s="284">
        <x:f t="shared" si="159"/>
        <x:v>391288.32000000007</x:v>
      </x:c>
      <x:c r="Q293" s="284">
        <x:f t="shared" si="159"/>
        <x:v>521717.76000000007</x:v>
      </x:c>
      <x:c r="R293" s="284">
        <x:f t="shared" si="159"/>
        <x:v>521717.76000000007</x:v>
      </x:c>
      <x:c r="S293" s="284">
        <x:f t="shared" si="159"/>
        <x:v>346679.64</x:v>
      </x:c>
      <x:c r="T293" s="284">
        <x:f t="shared" si="159"/>
        <x:v>481751.10000000003</x:v>
      </x:c>
      <x:c r="U293" s="284">
        <x:f t="shared" si="159"/>
        <x:v>475071.12000000005</x:v>
      </x:c>
      <x:c r="V293" s="114">
        <x:f t="shared" si="100"/>
        <x:v>5672888.1000000006</x:v>
      </x:c>
      <x:c r="W293" s="1056"/>
      <x:c r="X293" s="1167"/>
    </x:row>
    <x:row r="294" spans="1:25">
      <x:c r="A294" s="76"/>
      <x:c r="B294" s="293" t="s">
        <x:v>435</x:v>
      </x:c>
      <x:c r="C294" s="127"/>
      <x:c r="D294" s="127"/>
      <x:c r="E294" s="127"/>
      <x:c r="F294" s="127"/>
      <x:c r="G294" s="127"/>
      <x:c r="H294" s="290"/>
      <x:c r="I294" s="290"/>
      <x:c r="J294" s="291">
        <x:f>SUM(J291:J293)</x:f>
        <x:v>870704.64000000013</x:v>
      </x:c>
      <x:c r="K294" s="291">
        <x:f t="shared" ref="K294:T294" si="160">SUM(K291:K293)</x:f>
        <x:v>1306056.96</x:v>
      </x:c>
      <x:c r="L294" s="291">
        <x:f t="shared" si="160"/>
        <x:v>1015822.0800000001</x:v>
      </x:c>
      <x:c r="M294" s="291">
        <x:f t="shared" si="160"/>
        <x:v>870704.64000000013</x:v>
      </x:c>
      <x:c r="N294" s="291">
        <x:f t="shared" si="160"/>
        <x:v>1160939.52</x:v>
      </x:c>
      <x:c r="O294" s="291">
        <x:f t="shared" si="160"/>
        <x:v>1306056.96</x:v>
      </x:c>
      <x:c r="P294" s="291">
        <x:f t="shared" si="160"/>
        <x:v>870704.64000000013</x:v>
      </x:c>
      <x:c r="Q294" s="291">
        <x:f t="shared" si="160"/>
        <x:v>1160939.52</x:v>
      </x:c>
      <x:c r="R294" s="291">
        <x:f t="shared" si="160"/>
        <x:v>1160939.52</x:v>
      </x:c>
      <x:c r="S294" s="291">
        <x:f t="shared" si="160"/>
        <x:v>771440.28</x:v>
      </x:c>
      <x:c r="T294" s="291">
        <x:f t="shared" si="160"/>
        <x:v>1072004.7</x:v>
      </x:c>
      <x:c r="U294" s="291">
        <x:f>SUM(U291:U293)</x:f>
        <x:v>1057140.24</x:v>
      </x:c>
      <x:c r="V294" s="128">
        <x:f>SUM(J294:U294)</x:f>
        <x:v>12623453.699999997</x:v>
      </x:c>
      <x:c r="W294" s="1056"/>
      <x:c r="X294" s="1167">
        <x:v>12623453.699999997</x:v>
      </x:c>
      <x:c r="Y294" s="1168">
        <x:f>+V294-X294</x:f>
        <x:v>0</x:v>
      </x:c>
    </x:row>
    <x:row r="295" spans="1:25">
      <x:c r="A295" s="78"/>
      <x:c r="B295" s="79" t="s">
        <x:v>393</x:v>
      </x:c>
      <x:c r="C295" s="240" t="s">
        <x:v>332</x:v>
      </x:c>
      <x:c r="D295" s="250"/>
      <x:c r="E295" s="250"/>
      <x:c r="F295" s="251" t="s">
        <x:v>394</x:v>
      </x:c>
      <x:c r="G295" s="252" t="s">
        <x:v>395</x:v>
      </x:c>
      <x:c r="H295" s="253">
        <x:v>1</x:v>
      </x:c>
      <x:c r="I295" s="235" t="s">
        <x:v>396</x:v>
      </x:c>
      <x:c r="J295" s="1171">
        <x:f>+$I$234*J135*J57</x:f>
        <x:v>0</x:v>
      </x:c>
      <x:c r="K295" s="1171">
        <x:f t="shared" ref="K295:U295" si="161">+$I$234*K135*K57</x:f>
        <x:v>269929.73636341444</x:v>
      </x:c>
      <x:c r="L295" s="1171">
        <x:f t="shared" si="161"/>
        <x:v>0</x:v>
      </x:c>
      <x:c r="M295" s="1171">
        <x:f t="shared" si="161"/>
        <x:v>0</x:v>
      </x:c>
      <x:c r="N295" s="1171">
        <x:f t="shared" si="161"/>
        <x:v>0</x:v>
      </x:c>
      <x:c r="O295" s="1171">
        <x:f t="shared" si="161"/>
        <x:v>0</x:v>
      </x:c>
      <x:c r="P295" s="1171">
        <x:f t="shared" si="161"/>
        <x:v>0</x:v>
      </x:c>
      <x:c r="Q295" s="1171">
        <x:f t="shared" si="161"/>
        <x:v>0</x:v>
      </x:c>
      <x:c r="R295" s="1171">
        <x:f t="shared" si="161"/>
        <x:v>0</x:v>
      </x:c>
      <x:c r="S295" s="1171">
        <x:f t="shared" si="161"/>
        <x:v>5464253.3117891196</x:v>
      </x:c>
      <x:c r="T295" s="1171">
        <x:f t="shared" si="161"/>
        <x:v>5464253.3117891196</x:v>
      </x:c>
      <x:c r="U295" s="1171">
        <x:f t="shared" si="161"/>
        <x:v>5464253.3117891196</x:v>
      </x:c>
      <x:c r="V295" s="114">
        <x:f t="shared" si="100"/>
        <x:v>16662689.671730774</x:v>
      </x:c>
      <x:c r="W295" s="280"/>
      <x:c r="X295" s="1167"/>
    </x:row>
    <x:row r="296" spans="1:25">
      <x:c r="A296" s="78"/>
      <x:c r="B296" s="80"/>
      <x:c r="C296" s="235" t="s">
        <x:v>332</x:v>
      </x:c>
      <x:c r="D296" s="250"/>
      <x:c r="E296" s="250"/>
      <x:c r="F296" s="251" t="s">
        <x:v>397</x:v>
      </x:c>
      <x:c r="G296" s="252" t="s">
        <x:v>398</x:v>
      </x:c>
      <x:c r="H296" s="251">
        <x:v>1</x:v>
      </x:c>
      <x:c r="I296" s="235" t="s">
        <x:v>396</x:v>
      </x:c>
      <x:c r="J296" s="1171">
        <x:f t="shared" ref="J296:U296" si="162">+$I$234*J136*J58</x:f>
        <x:v>0</x:v>
      </x:c>
      <x:c r="K296" s="1171">
        <x:f t="shared" si="162"/>
        <x:v>194324.08343854177</x:v>
      </x:c>
      <x:c r="L296" s="1171">
        <x:f t="shared" si="162"/>
        <x:v>0</x:v>
      </x:c>
      <x:c r="M296" s="1171">
        <x:f t="shared" si="162"/>
        <x:v>0</x:v>
      </x:c>
      <x:c r="N296" s="1171">
        <x:f t="shared" si="162"/>
        <x:v>0</x:v>
      </x:c>
      <x:c r="O296" s="1171">
        <x:f t="shared" si="162"/>
        <x:v>0</x:v>
      </x:c>
      <x:c r="P296" s="1171">
        <x:f t="shared" si="162"/>
        <x:v>0</x:v>
      </x:c>
      <x:c r="Q296" s="1171">
        <x:f t="shared" si="162"/>
        <x:v>0</x:v>
      </x:c>
      <x:c r="R296" s="1171">
        <x:f t="shared" si="162"/>
        <x:v>0</x:v>
      </x:c>
      <x:c r="S296" s="1171">
        <x:f t="shared" si="162"/>
        <x:v>24641547.483771216</x:v>
      </x:c>
      <x:c r="T296" s="1171">
        <x:f t="shared" si="162"/>
        <x:v>24641547.483771216</x:v>
      </x:c>
      <x:c r="U296" s="1171">
        <x:f t="shared" si="162"/>
        <x:v>24641547.483771216</x:v>
      </x:c>
      <x:c r="V296" s="114">
        <x:f t="shared" si="100"/>
        <x:v>74118966.53475219</x:v>
      </x:c>
      <x:c r="W296" s="280"/>
      <x:c r="X296" s="1167"/>
    </x:row>
    <x:row r="297" spans="1:25">
      <x:c r="A297" s="76"/>
      <x:c r="B297" s="81"/>
      <x:c r="C297" s="235" t="s">
        <x:v>332</x:v>
      </x:c>
      <x:c r="D297" s="235"/>
      <x:c r="E297" s="247"/>
      <x:c r="F297" s="248" t="s">
        <x:v>399</x:v>
      </x:c>
      <x:c r="G297" s="236" t="s">
        <x:v>400</x:v>
      </x:c>
      <x:c r="H297" s="249">
        <x:v>1</x:v>
      </x:c>
      <x:c r="I297" s="235" t="s">
        <x:v>396</x:v>
      </x:c>
      <x:c r="J297" s="1171">
        <x:f t="shared" ref="J297:U297" si="163">+$I$234*J137*J59</x:f>
        <x:v>0</x:v>
      </x:c>
      <x:c r="K297" s="1171">
        <x:f t="shared" si="163"/>
        <x:v>59510.879999999997</x:v>
      </x:c>
      <x:c r="L297" s="1171">
        <x:f t="shared" si="163"/>
        <x:v>0</x:v>
      </x:c>
      <x:c r="M297" s="1171">
        <x:f t="shared" si="163"/>
        <x:v>0</x:v>
      </x:c>
      <x:c r="N297" s="1171">
        <x:f t="shared" si="163"/>
        <x:v>0</x:v>
      </x:c>
      <x:c r="O297" s="1171">
        <x:f t="shared" si="163"/>
        <x:v>0</x:v>
      </x:c>
      <x:c r="P297" s="1171">
        <x:f t="shared" si="163"/>
        <x:v>0</x:v>
      </x:c>
      <x:c r="Q297" s="1171">
        <x:f t="shared" si="163"/>
        <x:v>0</x:v>
      </x:c>
      <x:c r="R297" s="1171">
        <x:f t="shared" si="163"/>
        <x:v>0</x:v>
      </x:c>
      <x:c r="S297" s="1171">
        <x:f t="shared" si="163"/>
        <x:v>4095748.8</x:v>
      </x:c>
      <x:c r="T297" s="1171">
        <x:f t="shared" si="163"/>
        <x:v>4095748.8</x:v>
      </x:c>
      <x:c r="U297" s="1171">
        <x:f t="shared" si="163"/>
        <x:v>4095748.8</x:v>
      </x:c>
      <x:c r="V297" s="114">
        <x:f t="shared" si="100"/>
        <x:v>12346757.279999999</x:v>
      </x:c>
      <x:c r="W297" s="1061"/>
      <x:c r="X297" s="1167"/>
    </x:row>
    <x:row r="298" spans="1:25">
      <x:c r="A298" s="76"/>
      <x:c r="B298" s="80"/>
      <x:c r="C298" s="235" t="s">
        <x:v>332</x:v>
      </x:c>
      <x:c r="D298" s="235"/>
      <x:c r="E298" s="247"/>
      <x:c r="F298" s="248" t="s">
        <x:v>401</x:v>
      </x:c>
      <x:c r="G298" s="236" t="s">
        <x:v>402</x:v>
      </x:c>
      <x:c r="H298" s="249">
        <x:v>2</x:v>
      </x:c>
      <x:c r="I298" s="235" t="s">
        <x:v>396</x:v>
      </x:c>
      <x:c r="J298" s="1171">
        <x:f t="shared" ref="J298:U298" si="164">+$I$234*J138*J60</x:f>
        <x:v>0</x:v>
      </x:c>
      <x:c r="K298" s="1171">
        <x:f t="shared" si="164"/>
        <x:v>71094</x:v>
      </x:c>
      <x:c r="L298" s="1171">
        <x:f t="shared" si="164"/>
        <x:v>0</x:v>
      </x:c>
      <x:c r="M298" s="1171">
        <x:f t="shared" si="164"/>
        <x:v>0</x:v>
      </x:c>
      <x:c r="N298" s="1171">
        <x:f t="shared" si="164"/>
        <x:v>0</x:v>
      </x:c>
      <x:c r="O298" s="1171">
        <x:f t="shared" si="164"/>
        <x:v>0</x:v>
      </x:c>
      <x:c r="P298" s="1171">
        <x:f t="shared" si="164"/>
        <x:v>0</x:v>
      </x:c>
      <x:c r="Q298" s="1171">
        <x:f t="shared" si="164"/>
        <x:v>0</x:v>
      </x:c>
      <x:c r="R298" s="1171">
        <x:f t="shared" si="164"/>
        <x:v>0</x:v>
      </x:c>
      <x:c r="S298" s="1171">
        <x:f t="shared" si="164"/>
        <x:v>4892940</x:v>
      </x:c>
      <x:c r="T298" s="1171">
        <x:f t="shared" si="164"/>
        <x:v>4892940</x:v>
      </x:c>
      <x:c r="U298" s="1171">
        <x:f t="shared" si="164"/>
        <x:v>4892940</x:v>
      </x:c>
      <x:c r="V298" s="114">
        <x:f t="shared" si="100"/>
        <x:v>14749914</x:v>
      </x:c>
      <x:c r="W298" s="1061"/>
      <x:c r="X298" s="1167"/>
    </x:row>
    <x:row r="299" spans="1:25" s="48" customFormat="1" ht="13.5">
      <x:c r="A299" s="76"/>
      <x:c r="B299" s="80"/>
      <x:c r="C299" s="235" t="s">
        <x:v>332</x:v>
      </x:c>
      <x:c r="D299" s="256"/>
      <x:c r="E299" s="256"/>
      <x:c r="F299" s="256" t="s">
        <x:v>403</x:v>
      </x:c>
      <x:c r="G299" s="257" t="s">
        <x:v>404</x:v>
      </x:c>
      <x:c r="H299" s="256">
        <x:v>1</x:v>
      </x:c>
      <x:c r="I299" s="235" t="s">
        <x:v>396</x:v>
      </x:c>
      <x:c r="J299" s="1171">
        <x:f t="shared" ref="J299:U299" si="165">+$I$234*J139*J61</x:f>
        <x:v>0</x:v>
      </x:c>
      <x:c r="K299" s="1171">
        <x:f t="shared" si="165"/>
        <x:v>109658.16</x:v>
      </x:c>
      <x:c r="L299" s="1171">
        <x:f t="shared" si="165"/>
        <x:v>0</x:v>
      </x:c>
      <x:c r="M299" s="1171">
        <x:f t="shared" si="165"/>
        <x:v>0</x:v>
      </x:c>
      <x:c r="N299" s="1171">
        <x:f t="shared" si="165"/>
        <x:v>0</x:v>
      </x:c>
      <x:c r="O299" s="1171">
        <x:f t="shared" si="165"/>
        <x:v>0</x:v>
      </x:c>
      <x:c r="P299" s="1171">
        <x:f t="shared" si="165"/>
        <x:v>0</x:v>
      </x:c>
      <x:c r="Q299" s="1171">
        <x:f t="shared" si="165"/>
        <x:v>0</x:v>
      </x:c>
      <x:c r="R299" s="1171">
        <x:f t="shared" si="165"/>
        <x:v>0</x:v>
      </x:c>
      <x:c r="S299" s="1171">
        <x:f t="shared" si="165"/>
        <x:v>7547061.6000000006</x:v>
      </x:c>
      <x:c r="T299" s="1171">
        <x:f t="shared" si="165"/>
        <x:v>7547061.6000000006</x:v>
      </x:c>
      <x:c r="U299" s="1171">
        <x:f t="shared" si="165"/>
        <x:v>7547061.6000000006</x:v>
      </x:c>
      <x:c r="V299" s="114">
        <x:f t="shared" si="100"/>
        <x:v>22750842.960000001</x:v>
      </x:c>
      <x:c r="W299" s="1062"/>
      <x:c r="X299" s="837"/>
    </x:row>
    <x:row r="300" spans="1:25" s="48" customFormat="1" ht="13.5">
      <x:c r="A300" s="78"/>
      <x:c r="B300" s="80"/>
      <x:c r="C300" s="240" t="s">
        <x:v>332</x:v>
      </x:c>
      <x:c r="D300" s="250"/>
      <x:c r="E300" s="250"/>
      <x:c r="F300" s="251" t="s">
        <x:v>405</x:v>
      </x:c>
      <x:c r="G300" s="252" t="s">
        <x:v>406</x:v>
      </x:c>
      <x:c r="H300" s="251">
        <x:v>1</x:v>
      </x:c>
      <x:c r="I300" s="235" t="s">
        <x:v>396</x:v>
      </x:c>
      <x:c r="J300" s="1171">
        <x:f t="shared" ref="J300:U300" si="166">+$I$234*J140*J62</x:f>
        <x:v>0</x:v>
      </x:c>
      <x:c r="K300" s="1171">
        <x:f t="shared" si="166"/>
        <x:v>44667.839999999997</x:v>
      </x:c>
      <x:c r="L300" s="1171">
        <x:f t="shared" si="166"/>
        <x:v>0</x:v>
      </x:c>
      <x:c r="M300" s="1171">
        <x:f t="shared" si="166"/>
        <x:v>0</x:v>
      </x:c>
      <x:c r="N300" s="1171">
        <x:f t="shared" si="166"/>
        <x:v>0</x:v>
      </x:c>
      <x:c r="O300" s="1171">
        <x:f t="shared" si="166"/>
        <x:v>0</x:v>
      </x:c>
      <x:c r="P300" s="1171">
        <x:f t="shared" si="166"/>
        <x:v>0</x:v>
      </x:c>
      <x:c r="Q300" s="1171">
        <x:f t="shared" si="166"/>
        <x:v>0</x:v>
      </x:c>
      <x:c r="R300" s="1171">
        <x:f t="shared" si="166"/>
        <x:v>0</x:v>
      </x:c>
      <x:c r="S300" s="1171">
        <x:f t="shared" si="166"/>
        <x:v>3074198.4</x:v>
      </x:c>
      <x:c r="T300" s="1171">
        <x:f t="shared" si="166"/>
        <x:v>3074198.4</x:v>
      </x:c>
      <x:c r="U300" s="1171">
        <x:f t="shared" si="166"/>
        <x:v>3074198.4</x:v>
      </x:c>
      <x:c r="V300" s="114">
        <x:f t="shared" si="100"/>
        <x:v>9267263.0399999991</x:v>
      </x:c>
      <x:c r="W300" s="1063"/>
      <x:c r="X300" s="837"/>
    </x:row>
    <x:row r="301" spans="1:25" s="48" customFormat="1" ht="13.5">
      <x:c r="A301" s="78"/>
      <x:c r="B301" s="80"/>
      <x:c r="C301" s="235" t="s">
        <x:v>332</x:v>
      </x:c>
      <x:c r="D301" s="250"/>
      <x:c r="E301" s="250"/>
      <x:c r="F301" s="251" t="s">
        <x:v>407</x:v>
      </x:c>
      <x:c r="G301" s="252" t="s">
        <x:v>408</x:v>
      </x:c>
      <x:c r="H301" s="251">
        <x:v>1</x:v>
      </x:c>
      <x:c r="I301" s="235" t="s">
        <x:v>396</x:v>
      </x:c>
      <x:c r="J301" s="1171">
        <x:f t="shared" ref="J301:U301" si="167">+$I$234*J141*J63</x:f>
        <x:v>0</x:v>
      </x:c>
      <x:c r="K301" s="1171">
        <x:f t="shared" si="167"/>
        <x:v>91208.4</x:v>
      </x:c>
      <x:c r="L301" s="1171">
        <x:f t="shared" si="167"/>
        <x:v>0</x:v>
      </x:c>
      <x:c r="M301" s="1171">
        <x:f t="shared" si="167"/>
        <x:v>0</x:v>
      </x:c>
      <x:c r="N301" s="1171">
        <x:f t="shared" si="167"/>
        <x:v>0</x:v>
      </x:c>
      <x:c r="O301" s="1171">
        <x:f t="shared" si="167"/>
        <x:v>0</x:v>
      </x:c>
      <x:c r="P301" s="1171">
        <x:f t="shared" si="167"/>
        <x:v>0</x:v>
      </x:c>
      <x:c r="Q301" s="1171">
        <x:f t="shared" si="167"/>
        <x:v>0</x:v>
      </x:c>
      <x:c r="R301" s="1171">
        <x:f t="shared" si="167"/>
        <x:v>0</x:v>
      </x:c>
      <x:c r="S301" s="1171">
        <x:f t="shared" si="167"/>
        <x:v>6277284</x:v>
      </x:c>
      <x:c r="T301" s="1171">
        <x:f t="shared" si="167"/>
        <x:v>6277284</x:v>
      </x:c>
      <x:c r="U301" s="1171">
        <x:f t="shared" si="167"/>
        <x:v>6277284</x:v>
      </x:c>
      <x:c r="V301" s="114">
        <x:f t="shared" si="100"/>
        <x:v>18923060.399999999</x:v>
      </x:c>
      <x:c r="W301" s="1063"/>
      <x:c r="X301" s="837"/>
    </x:row>
    <x:row r="302" spans="1:25" s="48" customFormat="1" ht="13.5">
      <x:c r="A302" s="78"/>
      <x:c r="B302" s="80"/>
      <x:c r="C302" s="240" t="s">
        <x:v>332</x:v>
      </x:c>
      <x:c r="D302" s="259"/>
      <x:c r="E302" s="259"/>
      <x:c r="F302" s="253" t="s">
        <x:v>409</x:v>
      </x:c>
      <x:c r="G302" s="260" t="s">
        <x:v>410</x:v>
      </x:c>
      <x:c r="H302" s="253">
        <x:v>1</x:v>
      </x:c>
      <x:c r="I302" s="240" t="s">
        <x:v>396</x:v>
      </x:c>
      <x:c r="J302" s="1171">
        <x:f t="shared" ref="J302:U302" si="168">+$I$234*J142*J64</x:f>
        <x:v>0</x:v>
      </x:c>
      <x:c r="K302" s="1171">
        <x:f t="shared" si="168"/>
        <x:v>68874.48</x:v>
      </x:c>
      <x:c r="L302" s="1171">
        <x:f t="shared" si="168"/>
        <x:v>0</x:v>
      </x:c>
      <x:c r="M302" s="1171">
        <x:f t="shared" si="168"/>
        <x:v>0</x:v>
      </x:c>
      <x:c r="N302" s="1171">
        <x:f t="shared" si="168"/>
        <x:v>0</x:v>
      </x:c>
      <x:c r="O302" s="1171">
        <x:f t="shared" si="168"/>
        <x:v>0</x:v>
      </x:c>
      <x:c r="P302" s="1171">
        <x:f t="shared" si="168"/>
        <x:v>0</x:v>
      </x:c>
      <x:c r="Q302" s="1171">
        <x:f t="shared" si="168"/>
        <x:v>0</x:v>
      </x:c>
      <x:c r="R302" s="1171">
        <x:f t="shared" si="168"/>
        <x:v>0</x:v>
      </x:c>
      <x:c r="S302" s="1171">
        <x:f t="shared" si="168"/>
        <x:v>4740184.8</x:v>
      </x:c>
      <x:c r="T302" s="1171">
        <x:f t="shared" si="168"/>
        <x:v>4740184.8</x:v>
      </x:c>
      <x:c r="U302" s="1171">
        <x:f t="shared" si="168"/>
        <x:v>4740184.8</x:v>
      </x:c>
      <x:c r="V302" s="114">
        <x:f t="shared" si="100"/>
        <x:v>14289428.879999999</x:v>
      </x:c>
      <x:c r="W302" s="280"/>
      <x:c r="X302" s="837"/>
    </x:row>
    <x:row r="303" spans="1:25" s="48" customFormat="1" ht="13.5">
      <x:c r="A303" s="78"/>
      <x:c r="B303" s="80"/>
      <x:c r="C303" s="235" t="s">
        <x:v>332</x:v>
      </x:c>
      <x:c r="D303" s="250"/>
      <x:c r="E303" s="250"/>
      <x:c r="F303" s="251" t="s">
        <x:v>353</x:v>
      </x:c>
      <x:c r="G303" s="252" t="s">
        <x:v>411</x:v>
      </x:c>
      <x:c r="H303" s="251">
        <x:v>3</x:v>
      </x:c>
      <x:c r="I303" s="251" t="s">
        <x:v>1089</x:v>
      </x:c>
      <x:c r="J303" s="1171">
        <x:f t="shared" ref="J303:U303" si="169">+$I$234*J143*J65</x:f>
        <x:v>0</x:v>
      </x:c>
      <x:c r="K303" s="1171">
        <x:f t="shared" si="169"/>
        <x:v>162785.72589031584</x:v>
      </x:c>
      <x:c r="L303" s="1171">
        <x:f t="shared" si="169"/>
        <x:v>0</x:v>
      </x:c>
      <x:c r="M303" s="1171">
        <x:f t="shared" si="169"/>
        <x:v>0</x:v>
      </x:c>
      <x:c r="N303" s="1171">
        <x:f t="shared" si="169"/>
        <x:v>0</x:v>
      </x:c>
      <x:c r="O303" s="1171">
        <x:f t="shared" si="169"/>
        <x:v>0</x:v>
      </x:c>
      <x:c r="P303" s="1171">
        <x:f t="shared" si="169"/>
        <x:v>0</x:v>
      </x:c>
      <x:c r="Q303" s="1171">
        <x:f t="shared" si="169"/>
        <x:v>0</x:v>
      </x:c>
      <x:c r="R303" s="1171">
        <x:f t="shared" si="169"/>
        <x:v>0</x:v>
      </x:c>
      <x:c r="S303" s="1171">
        <x:f t="shared" si="169"/>
        <x:v>11203488.19362762</x:v>
      </x:c>
      <x:c r="T303" s="1171">
        <x:f t="shared" si="169"/>
        <x:v>11203488.19362762</x:v>
      </x:c>
      <x:c r="U303" s="1171">
        <x:f t="shared" si="169"/>
        <x:v>11203488.19362762</x:v>
      </x:c>
      <x:c r="V303" s="114">
        <x:f t="shared" si="100"/>
        <x:v>33773250.306773178</x:v>
      </x:c>
      <x:c r="W303" s="280"/>
      <x:c r="X303" s="837"/>
    </x:row>
    <x:row r="304" spans="1:25" s="48" customFormat="1" ht="13.5">
      <x:c r="A304" s="78"/>
      <x:c r="B304" s="80"/>
      <x:c r="C304" s="240" t="s">
        <x:v>332</x:v>
      </x:c>
      <x:c r="D304" s="250"/>
      <x:c r="E304" s="250"/>
      <x:c r="F304" s="251" t="s">
        <x:v>412</x:v>
      </x:c>
      <x:c r="G304" s="252" t="s">
        <x:v>413</x:v>
      </x:c>
      <x:c r="H304" s="251">
        <x:v>1</x:v>
      </x:c>
      <x:c r="I304" s="251" t="s">
        <x:v>1089</x:v>
      </x:c>
      <x:c r="J304" s="1171">
        <x:f t="shared" ref="J304:U304" si="170">+$I$234*J144*J66</x:f>
        <x:v>0</x:v>
      </x:c>
      <x:c r="K304" s="1171">
        <x:f t="shared" si="170"/>
        <x:v>73826.0765622131</x:v>
      </x:c>
      <x:c r="L304" s="1171">
        <x:f t="shared" si="170"/>
        <x:v>0</x:v>
      </x:c>
      <x:c r="M304" s="1171">
        <x:f t="shared" si="170"/>
        <x:v>0</x:v>
      </x:c>
      <x:c r="N304" s="1171">
        <x:f t="shared" si="170"/>
        <x:v>0</x:v>
      </x:c>
      <x:c r="O304" s="1171">
        <x:f t="shared" si="170"/>
        <x:v>0</x:v>
      </x:c>
      <x:c r="P304" s="1171">
        <x:f t="shared" si="170"/>
        <x:v>0</x:v>
      </x:c>
      <x:c r="Q304" s="1171">
        <x:f t="shared" si="170"/>
        <x:v>0</x:v>
      </x:c>
      <x:c r="R304" s="1171">
        <x:f t="shared" si="170"/>
        <x:v>0</x:v>
      </x:c>
      <x:c r="S304" s="1171">
        <x:f t="shared" si="170"/>
        <x:v>5080971.1516346661</x:v>
      </x:c>
      <x:c r="T304" s="1171">
        <x:f t="shared" si="170"/>
        <x:v>5080971.1516346661</x:v>
      </x:c>
      <x:c r="U304" s="1171">
        <x:f t="shared" si="170"/>
        <x:v>5080971.1516346661</x:v>
      </x:c>
      <x:c r="V304" s="114">
        <x:f t="shared" si="100"/>
        <x:v>15316739.531466212</x:v>
      </x:c>
      <x:c r="W304" s="280"/>
      <x:c r="X304" s="837"/>
    </x:row>
    <x:row r="305" spans="1:25" s="48" customFormat="1" ht="13.5">
      <x:c r="A305" s="78"/>
      <x:c r="B305" s="80"/>
      <x:c r="C305" s="235" t="s">
        <x:v>332</x:v>
      </x:c>
      <x:c r="D305" s="250"/>
      <x:c r="E305" s="250"/>
      <x:c r="F305" s="251" t="s">
        <x:v>358</x:v>
      </x:c>
      <x:c r="G305" s="252" t="s">
        <x:v>414</x:v>
      </x:c>
      <x:c r="H305" s="253">
        <x:v>1</x:v>
      </x:c>
      <x:c r="I305" s="251" t="s">
        <x:v>1089</x:v>
      </x:c>
      <x:c r="J305" s="1171">
        <x:f t="shared" ref="J305:U305" si="171">+$I$234*J145*J67</x:f>
        <x:v>0</x:v>
      </x:c>
      <x:c r="K305" s="1171">
        <x:f t="shared" si="171"/>
        <x:v>68444.680457749942</x:v>
      </x:c>
      <x:c r="L305" s="1171">
        <x:f t="shared" si="171"/>
        <x:v>0</x:v>
      </x:c>
      <x:c r="M305" s="1171">
        <x:f t="shared" si="171"/>
        <x:v>0</x:v>
      </x:c>
      <x:c r="N305" s="1171">
        <x:f t="shared" si="171"/>
        <x:v>0</x:v>
      </x:c>
      <x:c r="O305" s="1171">
        <x:f t="shared" si="171"/>
        <x:v>0</x:v>
      </x:c>
      <x:c r="P305" s="1171">
        <x:f t="shared" si="171"/>
        <x:v>0</x:v>
      </x:c>
      <x:c r="Q305" s="1171">
        <x:f t="shared" si="171"/>
        <x:v>0</x:v>
      </x:c>
      <x:c r="R305" s="1171">
        <x:f t="shared" si="171"/>
        <x:v>0</x:v>
      </x:c>
      <x:c r="S305" s="1171">
        <x:f t="shared" si="171"/>
        <x:v>4710604.47856279</x:v>
      </x:c>
      <x:c r="T305" s="1171">
        <x:f t="shared" si="171"/>
        <x:v>4710604.47856279</x:v>
      </x:c>
      <x:c r="U305" s="1171">
        <x:f t="shared" si="171"/>
        <x:v>4710604.47856279</x:v>
      </x:c>
      <x:c r="V305" s="114">
        <x:f t="shared" si="100"/>
        <x:v>14200258.116146121</x:v>
      </x:c>
      <x:c r="W305" s="280"/>
      <x:c r="X305" s="837"/>
    </x:row>
    <x:row r="306" spans="1:25" s="48" customFormat="1" ht="13.5">
      <x:c r="A306" s="78"/>
      <x:c r="B306" s="80"/>
      <x:c r="C306" s="240" t="s">
        <x:v>332</x:v>
      </x:c>
      <x:c r="D306" s="250"/>
      <x:c r="E306" s="250"/>
      <x:c r="F306" s="251" t="s">
        <x:v>415</x:v>
      </x:c>
      <x:c r="G306" s="252" t="s">
        <x:v>416</x:v>
      </x:c>
      <x:c r="H306" s="251">
        <x:v>1</x:v>
      </x:c>
      <x:c r="I306" s="251" t="s">
        <x:v>1089</x:v>
      </x:c>
      <x:c r="J306" s="1171">
        <x:f t="shared" ref="J306:U306" si="172">+$I$234*J146*J68</x:f>
        <x:v>0</x:v>
      </x:c>
      <x:c r="K306" s="1171">
        <x:f t="shared" si="172"/>
        <x:v>72821.196405132665</x:v>
      </x:c>
      <x:c r="L306" s="1171">
        <x:f t="shared" si="172"/>
        <x:v>0</x:v>
      </x:c>
      <x:c r="M306" s="1171">
        <x:f t="shared" si="172"/>
        <x:v>0</x:v>
      </x:c>
      <x:c r="N306" s="1171">
        <x:f t="shared" si="172"/>
        <x:v>0</x:v>
      </x:c>
      <x:c r="O306" s="1171">
        <x:f t="shared" si="172"/>
        <x:v>0</x:v>
      </x:c>
      <x:c r="P306" s="1171">
        <x:f t="shared" si="172"/>
        <x:v>0</x:v>
      </x:c>
      <x:c r="Q306" s="1171">
        <x:f t="shared" si="172"/>
        <x:v>0</x:v>
      </x:c>
      <x:c r="R306" s="1171">
        <x:f t="shared" si="172"/>
        <x:v>0</x:v>
      </x:c>
      <x:c r="S306" s="1171">
        <x:f t="shared" si="172"/>
        <x:v>5011811.7525885422</x:v>
      </x:c>
      <x:c r="T306" s="1171">
        <x:f t="shared" si="172"/>
        <x:v>5011811.7525885422</x:v>
      </x:c>
      <x:c r="U306" s="1171">
        <x:f t="shared" si="172"/>
        <x:v>5011811.7525885422</x:v>
      </x:c>
      <x:c r="V306" s="114">
        <x:f t="shared" si="100"/>
        <x:v>15108256.454170758</x:v>
      </x:c>
      <x:c r="W306" s="280"/>
      <x:c r="X306" s="837"/>
    </x:row>
    <x:row r="307" spans="1:25" s="48" customFormat="1" ht="13.5">
      <x:c r="A307" s="78"/>
      <x:c r="B307" s="80"/>
      <x:c r="C307" s="240" t="s">
        <x:v>332</x:v>
      </x:c>
      <x:c r="D307" s="259"/>
      <x:c r="E307" s="259"/>
      <x:c r="F307" s="253" t="s">
        <x:v>417</x:v>
      </x:c>
      <x:c r="G307" s="260" t="s">
        <x:v>418</x:v>
      </x:c>
      <x:c r="H307" s="253">
        <x:v>1</x:v>
      </x:c>
      <x:c r="I307" s="240" t="s">
        <x:v>396</x:v>
      </x:c>
      <x:c r="J307" s="1172">
        <x:f t="shared" ref="J307:U307" si="173">+$I$234*J147*J69</x:f>
        <x:v>0</x:v>
      </x:c>
      <x:c r="K307" s="1172">
        <x:f t="shared" si="173"/>
        <x:v>91658.59180696265</x:v>
      </x:c>
      <x:c r="L307" s="1172">
        <x:f t="shared" si="173"/>
        <x:v>0</x:v>
      </x:c>
      <x:c r="M307" s="1172">
        <x:f t="shared" si="173"/>
        <x:v>0</x:v>
      </x:c>
      <x:c r="N307" s="1172">
        <x:f t="shared" si="173"/>
        <x:v>0</x:v>
      </x:c>
      <x:c r="O307" s="1172">
        <x:f t="shared" si="173"/>
        <x:v>0</x:v>
      </x:c>
      <x:c r="P307" s="1172">
        <x:f t="shared" si="173"/>
        <x:v>0</x:v>
      </x:c>
      <x:c r="Q307" s="1172">
        <x:f t="shared" si="173"/>
        <x:v>0</x:v>
      </x:c>
      <x:c r="R307" s="1172">
        <x:f t="shared" si="173"/>
        <x:v>0</x:v>
      </x:c>
      <x:c r="S307" s="1172">
        <x:f t="shared" si="173"/>
        <x:v>6308267.7890674295</x:v>
      </x:c>
      <x:c r="T307" s="1172">
        <x:f t="shared" si="173"/>
        <x:v>6308267.7890674295</x:v>
      </x:c>
      <x:c r="U307" s="1172">
        <x:f t="shared" si="173"/>
        <x:v>6308267.7890674295</x:v>
      </x:c>
      <x:c r="V307" s="113">
        <x:f t="shared" si="100"/>
        <x:v>19016461.959009252</x:v>
      </x:c>
      <x:c r="W307" s="280"/>
      <x:c r="X307" s="837"/>
    </x:row>
    <x:row r="308" spans="1:25" s="48" customFormat="1" ht="13.5">
      <x:c r="A308" s="76"/>
      <x:c r="B308" s="293" t="s">
        <x:v>435</x:v>
      </x:c>
      <x:c r="C308" s="127"/>
      <x:c r="D308" s="127"/>
      <x:c r="E308" s="127"/>
      <x:c r="F308" s="127"/>
      <x:c r="G308" s="127"/>
      <x:c r="H308" s="127"/>
      <x:c r="I308" s="294"/>
      <x:c r="J308" s="292">
        <x:f>SUM(J295:J307)</x:f>
        <x:v>0</x:v>
      </x:c>
      <x:c r="K308" s="292">
        <x:f>SUM(K295:K307)</x:f>
        <x:v>1378803.8509243303</x:v>
      </x:c>
      <x:c r="L308" s="292">
        <x:f>SUM(L295:L307)</x:f>
        <x:v>0</x:v>
      </x:c>
      <x:c r="M308" s="292">
        <x:f t="shared" ref="M308:U308" si="174">SUM(M295:M307)</x:f>
        <x:v>0</x:v>
      </x:c>
      <x:c r="N308" s="292">
        <x:f t="shared" si="174"/>
        <x:v>0</x:v>
      </x:c>
      <x:c r="O308" s="292">
        <x:f t="shared" si="174"/>
        <x:v>0</x:v>
      </x:c>
      <x:c r="P308" s="292">
        <x:f t="shared" si="174"/>
        <x:v>0</x:v>
      </x:c>
      <x:c r="Q308" s="292">
        <x:f>SUM(Q295:Q307)</x:f>
        <x:v>0</x:v>
      </x:c>
      <x:c r="R308" s="292">
        <x:f t="shared" si="174"/>
        <x:v>0</x:v>
      </x:c>
      <x:c r="S308" s="292">
        <x:f t="shared" si="174"/>
        <x:v>93048361.761041373</x:v>
      </x:c>
      <x:c r="T308" s="292">
        <x:f t="shared" si="174"/>
        <x:v>93048361.761041373</x:v>
      </x:c>
      <x:c r="U308" s="292">
        <x:f t="shared" si="174"/>
        <x:v>93048361.761041373</x:v>
      </x:c>
      <x:c r="V308" s="295">
        <x:f>SUM(J308:U308)</x:f>
        <x:v>280523889.13404846</x:v>
      </x:c>
      <x:c r="W308" s="1068"/>
      <x:c r="X308" s="837">
        <x:v>241137965.11546296</x:v>
      </x:c>
      <x:c r="Y308" s="1168">
        <x:f>+V308-X308</x:f>
        <x:v>39385924.018585503</x:v>
      </x:c>
    </x:row>
    <x:row r="309" spans="1:25" s="48" customFormat="1" ht="13.5">
      <x:c r="A309" s="78"/>
      <x:c r="B309" s="1218" t="s">
        <x:v>1046</x:v>
      </x:c>
      <x:c r="C309" s="235"/>
      <x:c r="D309" s="235" t="s">
        <x:v>332</x:v>
      </x:c>
      <x:c r="E309" s="250"/>
      <x:c r="F309" s="251" t="s">
        <x:v>1047</x:v>
      </x:c>
      <x:c r="G309" s="252" t="s">
        <x:v>386</x:v>
      </x:c>
      <x:c r="H309" s="251">
        <x:v>1</x:v>
      </x:c>
      <x:c r="I309" s="251" t="s">
        <x:v>1089</x:v>
      </x:c>
      <x:c r="J309" s="129">
        <x:f t="shared" ref="J309:U309" si="175">+$I$234*J148*J70</x:f>
        <x:v>0</x:v>
      </x:c>
      <x:c r="K309" s="129">
        <x:f t="shared" si="175"/>
        <x:v>3519.4200360000004</x:v>
      </x:c>
      <x:c r="L309" s="129">
        <x:f t="shared" si="175"/>
        <x:v>0</x:v>
      </x:c>
      <x:c r="M309" s="129">
        <x:f t="shared" si="175"/>
        <x:v>0</x:v>
      </x:c>
      <x:c r="N309" s="129">
        <x:f t="shared" si="175"/>
        <x:v>0</x:v>
      </x:c>
      <x:c r="O309" s="129">
        <x:f t="shared" si="175"/>
        <x:v>0</x:v>
      </x:c>
      <x:c r="P309" s="129">
        <x:f t="shared" si="175"/>
        <x:v>0</x:v>
      </x:c>
      <x:c r="Q309" s="129">
        <x:f t="shared" si="175"/>
        <x:v>0</x:v>
      </x:c>
      <x:c r="R309" s="129">
        <x:f t="shared" si="175"/>
        <x:v>0</x:v>
      </x:c>
      <x:c r="S309" s="129">
        <x:f t="shared" si="175"/>
        <x:v>242218.90836000003</x:v>
      </x:c>
      <x:c r="T309" s="129">
        <x:f t="shared" si="175"/>
        <x:v>242218.90836000003</x:v>
      </x:c>
      <x:c r="U309" s="129">
        <x:f t="shared" si="175"/>
        <x:v>242218.90836000003</x:v>
      </x:c>
      <x:c r="V309" s="114">
        <x:f t="shared" si="100"/>
        <x:v>730176.14511600009</x:v>
      </x:c>
      <x:c r="W309" s="1063"/>
      <x:c r="X309" s="837"/>
    </x:row>
    <x:row r="310" spans="1:25" s="48" customFormat="1" ht="13.5">
      <x:c r="A310" s="78"/>
      <x:c r="B310" s="1219"/>
      <x:c r="C310" s="235"/>
      <x:c r="D310" s="235" t="s">
        <x:v>332</x:v>
      </x:c>
      <x:c r="E310" s="250"/>
      <x:c r="F310" s="263" t="s">
        <x:v>1048</x:v>
      </x:c>
      <x:c r="G310" s="252" t="s">
        <x:v>390</x:v>
      </x:c>
      <x:c r="H310" s="251">
        <x:v>1</x:v>
      </x:c>
      <x:c r="I310" s="251" t="s">
        <x:v>1089</x:v>
      </x:c>
      <x:c r="J310" s="129">
        <x:f t="shared" ref="J310:U310" si="176">+$I$234*J149*J71</x:f>
        <x:v>0</x:v>
      </x:c>
      <x:c r="K310" s="129">
        <x:f t="shared" si="176"/>
        <x:v>4089.0459720000003</x:v>
      </x:c>
      <x:c r="L310" s="129">
        <x:f t="shared" si="176"/>
        <x:v>0</x:v>
      </x:c>
      <x:c r="M310" s="129">
        <x:f t="shared" si="176"/>
        <x:v>0</x:v>
      </x:c>
      <x:c r="N310" s="129">
        <x:f t="shared" si="176"/>
        <x:v>0</x:v>
      </x:c>
      <x:c r="O310" s="129">
        <x:f t="shared" si="176"/>
        <x:v>0</x:v>
      </x:c>
      <x:c r="P310" s="129">
        <x:f t="shared" si="176"/>
        <x:v>0</x:v>
      </x:c>
      <x:c r="Q310" s="129">
        <x:f t="shared" si="176"/>
        <x:v>0</x:v>
      </x:c>
      <x:c r="R310" s="129">
        <x:f t="shared" si="176"/>
        <x:v>0</x:v>
      </x:c>
      <x:c r="S310" s="129">
        <x:f t="shared" si="176"/>
        <x:v>281422.57572000002</x:v>
      </x:c>
      <x:c r="T310" s="129">
        <x:f t="shared" si="176"/>
        <x:v>281422.57572000002</x:v>
      </x:c>
      <x:c r="U310" s="129">
        <x:f t="shared" si="176"/>
        <x:v>281422.57572000002</x:v>
      </x:c>
      <x:c r="V310" s="114">
        <x:f t="shared" ref="V310:V316" si="177">SUM(J310:U310)</x:f>
        <x:v>848356.77313200012</x:v>
      </x:c>
      <x:c r="W310" s="1063"/>
      <x:c r="X310" s="837"/>
    </x:row>
    <x:row r="311" spans="1:25" s="48" customFormat="1" ht="13.5">
      <x:c r="A311" s="78"/>
      <x:c r="B311" s="1219"/>
      <x:c r="C311" s="235"/>
      <x:c r="D311" s="235" t="s">
        <x:v>332</x:v>
      </x:c>
      <x:c r="E311" s="250"/>
      <x:c r="F311" s="251" t="s">
        <x:v>1049</x:v>
      </x:c>
      <x:c r="G311" s="252" t="s">
        <x:v>1050</x:v>
      </x:c>
      <x:c r="H311" s="251">
        <x:v>2</x:v>
      </x:c>
      <x:c r="I311" s="251" t="s">
        <x:v>1089</x:v>
      </x:c>
      <x:c r="J311" s="129">
        <x:f t="shared" ref="J311:U311" si="178">+$I$234*J150*J72</x:f>
        <x:v>0</x:v>
      </x:c>
      <x:c r="K311" s="129">
        <x:f t="shared" si="178"/>
        <x:v>6299.2266480000008</x:v>
      </x:c>
      <x:c r="L311" s="129">
        <x:f t="shared" si="178"/>
        <x:v>0</x:v>
      </x:c>
      <x:c r="M311" s="129">
        <x:f t="shared" si="178"/>
        <x:v>0</x:v>
      </x:c>
      <x:c r="N311" s="129">
        <x:f t="shared" si="178"/>
        <x:v>0</x:v>
      </x:c>
      <x:c r="O311" s="129">
        <x:f t="shared" si="178"/>
        <x:v>0</x:v>
      </x:c>
      <x:c r="P311" s="129">
        <x:f t="shared" si="178"/>
        <x:v>0</x:v>
      </x:c>
      <x:c r="Q311" s="129">
        <x:f t="shared" si="178"/>
        <x:v>0</x:v>
      </x:c>
      <x:c r="R311" s="129">
        <x:f t="shared" si="178"/>
        <x:v>0</x:v>
      </x:c>
      <x:c r="S311" s="129">
        <x:f t="shared" si="178"/>
        <x:v>433535.01048000006</x:v>
      </x:c>
      <x:c r="T311" s="129">
        <x:f t="shared" si="178"/>
        <x:v>433535.01048000006</x:v>
      </x:c>
      <x:c r="U311" s="129">
        <x:f t="shared" si="178"/>
        <x:v>433535.01048000006</x:v>
      </x:c>
      <x:c r="V311" s="114">
        <x:f t="shared" si="177"/>
        <x:v>1306904.2580880001</x:v>
      </x:c>
      <x:c r="W311" s="1063"/>
      <x:c r="X311" s="837"/>
    </x:row>
    <x:row r="312" spans="1:25" s="48" customFormat="1" ht="13.5">
      <x:c r="A312" s="78"/>
      <x:c r="B312" s="1219"/>
      <x:c r="C312" s="235"/>
      <x:c r="D312" s="235" t="s">
        <x:v>332</x:v>
      </x:c>
      <x:c r="E312" s="250"/>
      <x:c r="F312" s="251" t="s">
        <x:v>1051</x:v>
      </x:c>
      <x:c r="G312" s="252" t="s">
        <x:v>1052</x:v>
      </x:c>
      <x:c r="H312" s="251">
        <x:v>4</x:v>
      </x:c>
      <x:c r="I312" s="251" t="s">
        <x:v>1089</x:v>
      </x:c>
      <x:c r="J312" s="129">
        <x:f t="shared" ref="J312:U312" si="179">+$I$234*J151*J73</x:f>
        <x:v>0</x:v>
      </x:c>
      <x:c r="K312" s="129">
        <x:f t="shared" si="179"/>
        <x:v>14579.36753440698</x:v>
      </x:c>
      <x:c r="L312" s="129">
        <x:f t="shared" si="179"/>
        <x:v>0</x:v>
      </x:c>
      <x:c r="M312" s="129">
        <x:f t="shared" si="179"/>
        <x:v>0</x:v>
      </x:c>
      <x:c r="N312" s="129">
        <x:f t="shared" si="179"/>
        <x:v>0</x:v>
      </x:c>
      <x:c r="O312" s="129">
        <x:f t="shared" si="179"/>
        <x:v>0</x:v>
      </x:c>
      <x:c r="P312" s="129">
        <x:f t="shared" si="179"/>
        <x:v>0</x:v>
      </x:c>
      <x:c r="Q312" s="129">
        <x:f t="shared" si="179"/>
        <x:v>0</x:v>
      </x:c>
      <x:c r="R312" s="129">
        <x:f t="shared" si="179"/>
        <x:v>0</x:v>
      </x:c>
      <x:c r="S312" s="129">
        <x:f t="shared" si="179"/>
        <x:v>1003403.530309186</x:v>
      </x:c>
      <x:c r="T312" s="129">
        <x:f t="shared" si="179"/>
        <x:v>1003403.530309186</x:v>
      </x:c>
      <x:c r="U312" s="129">
        <x:f t="shared" si="179"/>
        <x:v>1003403.530309186</x:v>
      </x:c>
      <x:c r="V312" s="114">
        <x:f t="shared" si="177"/>
        <x:v>3024789.958461965</x:v>
      </x:c>
      <x:c r="W312" s="1063"/>
      <x:c r="X312" s="837"/>
    </x:row>
    <x:row r="313" spans="1:25" s="48" customFormat="1" ht="13.5">
      <x:c r="A313" s="78"/>
      <x:c r="B313" s="1219"/>
      <x:c r="C313" s="235"/>
      <x:c r="D313" s="235" t="s">
        <x:v>332</x:v>
      </x:c>
      <x:c r="E313" s="250"/>
      <x:c r="F313" s="251" t="s">
        <x:v>1053</x:v>
      </x:c>
      <x:c r="G313" s="252" t="s">
        <x:v>1054</x:v>
      </x:c>
      <x:c r="H313" s="251">
        <x:v>1</x:v>
      </x:c>
      <x:c r="I313" s="251" t="s">
        <x:v>1089</x:v>
      </x:c>
      <x:c r="J313" s="129">
        <x:f t="shared" ref="J313:U313" si="180">+$I$234*J152*J74</x:f>
        <x:v>0</x:v>
      </x:c>
      <x:c r="K313" s="129">
        <x:f t="shared" si="180"/>
        <x:v>2181.2535885418038</x:v>
      </x:c>
      <x:c r="L313" s="129">
        <x:f t="shared" si="180"/>
        <x:v>0</x:v>
      </x:c>
      <x:c r="M313" s="129">
        <x:f t="shared" si="180"/>
        <x:v>0</x:v>
      </x:c>
      <x:c r="N313" s="129">
        <x:f t="shared" si="180"/>
        <x:v>0</x:v>
      </x:c>
      <x:c r="O313" s="129">
        <x:f t="shared" si="180"/>
        <x:v>0</x:v>
      </x:c>
      <x:c r="P313" s="129">
        <x:f t="shared" si="180"/>
        <x:v>0</x:v>
      </x:c>
      <x:c r="Q313" s="129">
        <x:f t="shared" si="180"/>
        <x:v>0</x:v>
      </x:c>
      <x:c r="R313" s="129">
        <x:f t="shared" si="180"/>
        <x:v>0</x:v>
      </x:c>
      <x:c r="S313" s="129">
        <x:f t="shared" si="180"/>
        <x:v>150121.57050552408</x:v>
      </x:c>
      <x:c r="T313" s="129">
        <x:f t="shared" si="180"/>
        <x:v>150121.57050552408</x:v>
      </x:c>
      <x:c r="U313" s="129">
        <x:f t="shared" si="180"/>
        <x:v>150121.57050552408</x:v>
      </x:c>
      <x:c r="V313" s="114">
        <x:f t="shared" si="177"/>
        <x:v>452545.96510511404</x:v>
      </x:c>
      <x:c r="W313" s="1063"/>
      <x:c r="X313" s="837"/>
    </x:row>
    <x:row r="314" spans="1:25" s="48" customFormat="1" ht="13.5">
      <x:c r="A314" s="78"/>
      <x:c r="B314" s="1219"/>
      <x:c r="C314" s="235"/>
      <x:c r="D314" s="235" t="s">
        <x:v>332</x:v>
      </x:c>
      <x:c r="E314" s="250"/>
      <x:c r="F314" s="251" t="s">
        <x:v>1055</x:v>
      </x:c>
      <x:c r="G314" s="252" t="s">
        <x:v>1056</x:v>
      </x:c>
      <x:c r="H314" s="251">
        <x:v>2</x:v>
      </x:c>
      <x:c r="I314" s="251" t="s">
        <x:v>1089</x:v>
      </x:c>
      <x:c r="J314" s="129">
        <x:f t="shared" ref="J314:U314" si="181">+$I$234*J153*J75</x:f>
        <x:v>0</x:v>
      </x:c>
      <x:c r="K314" s="129">
        <x:f t="shared" si="181"/>
        <x:v>4201.6646115180001</x:v>
      </x:c>
      <x:c r="L314" s="129">
        <x:f t="shared" si="181"/>
        <x:v>0</x:v>
      </x:c>
      <x:c r="M314" s="129">
        <x:f t="shared" si="181"/>
        <x:v>0</x:v>
      </x:c>
      <x:c r="N314" s="129">
        <x:f t="shared" si="181"/>
        <x:v>0</x:v>
      </x:c>
      <x:c r="O314" s="129">
        <x:f t="shared" si="181"/>
        <x:v>0</x:v>
      </x:c>
      <x:c r="P314" s="129">
        <x:f t="shared" si="181"/>
        <x:v>0</x:v>
      </x:c>
      <x:c r="Q314" s="129">
        <x:f t="shared" si="181"/>
        <x:v>0</x:v>
      </x:c>
      <x:c r="R314" s="129">
        <x:f t="shared" si="181"/>
        <x:v>0</x:v>
      </x:c>
      <x:c r="S314" s="129">
        <x:f t="shared" si="181"/>
        <x:v>85055.318757485991</x:v>
      </x:c>
      <x:c r="T314" s="129">
        <x:f t="shared" si="181"/>
        <x:v>85055.318757485991</x:v>
      </x:c>
      <x:c r="U314" s="129">
        <x:f t="shared" si="181"/>
        <x:v>85055.318757485991</x:v>
      </x:c>
      <x:c r="V314" s="114">
        <x:f t="shared" si="177"/>
        <x:v>259367.62088397599</x:v>
      </x:c>
      <x:c r="W314" s="1063"/>
      <x:c r="X314" s="837"/>
    </x:row>
    <x:row r="315" spans="1:25" s="48" customFormat="1" ht="13.5">
      <x:c r="A315" s="78"/>
      <x:c r="B315" s="1219"/>
      <x:c r="C315" s="235"/>
      <x:c r="D315" s="235" t="s">
        <x:v>332</x:v>
      </x:c>
      <x:c r="E315" s="250"/>
      <x:c r="F315" s="251" t="s">
        <x:v>1057</x:v>
      </x:c>
      <x:c r="G315" s="252" t="s">
        <x:v>1058</x:v>
      </x:c>
      <x:c r="H315" s="251">
        <x:v>1</x:v>
      </x:c>
      <x:c r="I315" s="251" t="s">
        <x:v>1089</x:v>
      </x:c>
      <x:c r="J315" s="129">
        <x:f t="shared" ref="J315:U315" si="182">+$I$234*J154*J76</x:f>
        <x:v>0</x:v>
      </x:c>
      <x:c r="K315" s="129">
        <x:f t="shared" si="182"/>
        <x:v>856.14831669162663</x:v>
      </x:c>
      <x:c r="L315" s="129">
        <x:f t="shared" si="182"/>
        <x:v>0</x:v>
      </x:c>
      <x:c r="M315" s="129">
        <x:f t="shared" si="182"/>
        <x:v>0</x:v>
      </x:c>
      <x:c r="N315" s="129">
        <x:f t="shared" si="182"/>
        <x:v>0</x:v>
      </x:c>
      <x:c r="O315" s="129">
        <x:f t="shared" si="182"/>
        <x:v>0</x:v>
      </x:c>
      <x:c r="P315" s="129">
        <x:f t="shared" si="182"/>
        <x:v>0</x:v>
      </x:c>
      <x:c r="Q315" s="129">
        <x:f t="shared" si="182"/>
        <x:v>0</x:v>
      </x:c>
      <x:c r="R315" s="129">
        <x:f t="shared" si="182"/>
        <x:v>0</x:v>
      </x:c>
      <x:c r="S315" s="129">
        <x:f t="shared" si="182"/>
        <x:v>17331.218627081827</x:v>
      </x:c>
      <x:c r="T315" s="129">
        <x:f t="shared" si="182"/>
        <x:v>17331.218627081827</x:v>
      </x:c>
      <x:c r="U315" s="129">
        <x:f t="shared" si="182"/>
        <x:v>17331.218627081827</x:v>
      </x:c>
      <x:c r="V315" s="114">
        <x:f t="shared" si="177"/>
        <x:v>52849.804197937112</x:v>
      </x:c>
      <x:c r="W315" s="1063"/>
      <x:c r="X315" s="837"/>
    </x:row>
    <x:row r="316" spans="1:25" s="48" customFormat="1" ht="13.5">
      <x:c r="A316" s="78"/>
      <x:c r="B316" s="1237"/>
      <x:c r="C316" s="235"/>
      <x:c r="D316" s="235" t="s">
        <x:v>332</x:v>
      </x:c>
      <x:c r="E316" s="250"/>
      <x:c r="F316" s="251" t="s">
        <x:v>1059</x:v>
      </x:c>
      <x:c r="G316" s="252" t="s">
        <x:v>1060</x:v>
      </x:c>
      <x:c r="H316" s="251">
        <x:v>1</x:v>
      </x:c>
      <x:c r="I316" s="251" t="s">
        <x:v>1089</x:v>
      </x:c>
      <x:c r="J316" s="129">
        <x:f t="shared" ref="J316:U316" si="183">+$I$234*J155*J77</x:f>
        <x:v>0</x:v>
      </x:c>
      <x:c r="K316" s="129">
        <x:f t="shared" si="183"/>
        <x:v>2410.0877778905015</x:v>
      </x:c>
      <x:c r="L316" s="129">
        <x:f t="shared" si="183"/>
        <x:v>0</x:v>
      </x:c>
      <x:c r="M316" s="129">
        <x:f t="shared" si="183"/>
        <x:v>0</x:v>
      </x:c>
      <x:c r="N316" s="129">
        <x:f t="shared" si="183"/>
        <x:v>0</x:v>
      </x:c>
      <x:c r="O316" s="129">
        <x:f t="shared" si="183"/>
        <x:v>0</x:v>
      </x:c>
      <x:c r="P316" s="129">
        <x:f t="shared" si="183"/>
        <x:v>0</x:v>
      </x:c>
      <x:c r="Q316" s="129">
        <x:f t="shared" si="183"/>
        <x:v>0</x:v>
      </x:c>
      <x:c r="R316" s="129">
        <x:f t="shared" si="183"/>
        <x:v>0</x:v>
      </x:c>
      <x:c r="S316" s="129">
        <x:f t="shared" si="183"/>
        <x:v>165870.74706658151</x:v>
      </x:c>
      <x:c r="T316" s="129">
        <x:f t="shared" si="183"/>
        <x:v>165870.74706658151</x:v>
      </x:c>
      <x:c r="U316" s="129">
        <x:f t="shared" si="183"/>
        <x:v>165870.74706658151</x:v>
      </x:c>
      <x:c r="V316" s="113">
        <x:f t="shared" si="177"/>
        <x:v>500022.32897763501</x:v>
      </x:c>
      <x:c r="W316" s="1063"/>
      <x:c r="X316" s="837"/>
    </x:row>
    <x:row r="317" spans="1:25" s="48" customFormat="1" ht="13.5">
      <x:c r="A317" s="267"/>
      <x:c r="B317" s="296" t="s">
        <x:v>435</x:v>
      </x:c>
      <x:c r="C317" s="297"/>
      <x:c r="D317" s="297"/>
      <x:c r="E317" s="297"/>
      <x:c r="F317" s="297"/>
      <x:c r="G317" s="297"/>
      <x:c r="H317" s="297"/>
      <x:c r="I317" s="298"/>
      <x:c r="J317" s="292">
        <x:f>SUM(J309:J316)</x:f>
        <x:v>0</x:v>
      </x:c>
      <x:c r="K317" s="292">
        <x:f t="shared" ref="K317:V317" si="184">SUM(K309:K316)</x:f>
        <x:v>38136.214485048913</x:v>
      </x:c>
      <x:c r="L317" s="292">
        <x:f t="shared" si="184"/>
        <x:v>0</x:v>
      </x:c>
      <x:c r="M317" s="292">
        <x:f t="shared" si="184"/>
        <x:v>0</x:v>
      </x:c>
      <x:c r="N317" s="292">
        <x:f t="shared" si="184"/>
        <x:v>0</x:v>
      </x:c>
      <x:c r="O317" s="292">
        <x:f t="shared" si="184"/>
        <x:v>0</x:v>
      </x:c>
      <x:c r="P317" s="292">
        <x:f t="shared" si="184"/>
        <x:v>0</x:v>
      </x:c>
      <x:c r="Q317" s="292">
        <x:f t="shared" si="184"/>
        <x:v>0</x:v>
      </x:c>
      <x:c r="R317" s="292">
        <x:f t="shared" si="184"/>
        <x:v>0</x:v>
      </x:c>
      <x:c r="S317" s="292">
        <x:f t="shared" si="184"/>
        <x:v>2378958.8798258598</x:v>
      </x:c>
      <x:c r="T317" s="292">
        <x:f t="shared" si="184"/>
        <x:v>2378958.8798258598</x:v>
      </x:c>
      <x:c r="U317" s="292">
        <x:f t="shared" si="184"/>
        <x:v>2378958.8798258598</x:v>
      </x:c>
      <x:c r="V317" s="295">
        <x:f t="shared" si="184"/>
        <x:v>7175012.8539626272</x:v>
      </x:c>
      <x:c r="W317" s="1053"/>
      <x:c r="X317" s="837">
        <x:v>7175012.8539626272</x:v>
      </x:c>
      <x:c r="Y317" s="1168">
        <x:f>+V317-X317</x:f>
        <x:v>0</x:v>
      </x:c>
    </x:row>
    <x:row r="318" spans="1:25" s="48" customFormat="1" ht="17.25" thickBot="1">
      <x:c r="A318" s="1238" t="s">
        <x:v>186</x:v>
      </x:c>
      <x:c r="B318" s="1239"/>
      <x:c r="C318" s="1239"/>
      <x:c r="D318" s="1239"/>
      <x:c r="E318" s="1239"/>
      <x:c r="F318" s="1239"/>
      <x:c r="G318" s="1239"/>
      <x:c r="H318" s="1239"/>
      <x:c r="I318" s="1239"/>
      <x:c r="J318" s="130">
        <x:f>J242+J248+J262+J276+J290+J294+J308+J317</x:f>
        <x:v>93531067.738191113</x:v>
      </x:c>
      <x:c r="K318" s="130">
        <x:f t="shared" ref="K318:V318" si="185">K242+K248+K262+K276+K290+K294+K308+K317</x:f>
        <x:v>116722409.25903596</x:v>
      </x:c>
      <x:c r="L318" s="130">
        <x:f t="shared" si="185"/>
        <x:v>166146138.0984455</x:v>
      </x:c>
      <x:c r="M318" s="130">
        <x:f t="shared" si="185"/>
        <x:v>138597698.76818129</x:v>
      </x:c>
      <x:c r="N318" s="130">
        <x:f t="shared" si="185"/>
        <x:v>126824726.75397228</x:v>
      </x:c>
      <x:c r="O318" s="130">
        <x:f t="shared" si="185"/>
        <x:v>193241166.26244107</x:v>
      </x:c>
      <x:c r="P318" s="130">
        <x:f t="shared" si="185"/>
        <x:v>118295188.89315131</x:v>
      </x:c>
      <x:c r="Q318" s="130">
        <x:f t="shared" si="185"/>
        <x:v>176135148.80221638</x:v>
      </x:c>
      <x:c r="R318" s="130">
        <x:f t="shared" si="185"/>
        <x:v>159050641.37295532</x:v>
      </x:c>
      <x:c r="S318" s="130">
        <x:f t="shared" si="185"/>
        <x:v>233663506.65726784</x:v>
      </x:c>
      <x:c r="T318" s="130">
        <x:f t="shared" si="185"/>
        <x:v>165587684.97484156</x:v>
      </x:c>
      <x:c r="U318" s="130">
        <x:f t="shared" si="185"/>
        <x:v>166901534.13506734</x:v>
      </x:c>
      <x:c r="V318" s="299">
        <x:f t="shared" si="185"/>
        <x:v>1854696911.7157671</x:v>
      </x:c>
      <x:c r="W318" s="1071"/>
    </x:row>
    <x:row r="319" spans="1:25" s="48" customFormat="1" ht="17.25" thickTop="1">
      <x:c r="A319" s="121"/>
      <x:c r="B319" s="121"/>
      <x:c r="C319" s="121"/>
      <x:c r="D319" s="121"/>
      <x:c r="E319" s="121"/>
      <x:c r="F319" s="122"/>
      <x:c r="G319" s="121"/>
      <x:c r="H319" s="121"/>
      <x:c r="I319" s="121"/>
      <x:c r="J319" s="121"/>
      <x:c r="K319" s="121"/>
      <x:c r="L319" s="121"/>
      <x:c r="M319" s="121"/>
      <x:c r="N319" s="121"/>
      <x:c r="O319" s="121"/>
      <x:c r="P319" s="121"/>
      <x:c r="Q319" s="121"/>
      <x:c r="R319" s="121"/>
      <x:c r="S319" s="121"/>
      <x:c r="T319" s="121"/>
      <x:c r="U319" s="121"/>
      <x:c r="V319" s="319">
        <x:f>V318*34</x:f>
        <x:v>63059694998.336082</x:v>
      </x:c>
      <x:c r="W319" s="1072"/>
    </x:row>
    <x:row r="320" spans="1:25" s="48" customFormat="1" ht="26.25">
      <x:c r="A320" s="131" t="s">
        <x:v>436</x:v>
      </x:c>
      <x:c r="B320" s="94"/>
      <x:c r="C320" s="94"/>
      <x:c r="D320" s="94"/>
      <x:c r="E320" s="94"/>
      <x:c r="F320" s="95"/>
      <x:c r="G320" s="94"/>
      <x:c r="H320" s="94"/>
      <x:c r="I320" s="94"/>
      <x:c r="J320" s="94"/>
      <x:c r="M320" s="94"/>
      <x:c r="N320" s="94"/>
      <x:c r="O320" s="94"/>
      <x:c r="P320" s="94"/>
      <x:c r="Q320" s="94"/>
      <x:c r="R320" s="94"/>
      <x:c r="S320" s="94"/>
      <x:c r="T320" s="94"/>
      <x:c r="U320" s="94"/>
      <x:c r="V320" s="94"/>
      <x:c r="W320" s="1069"/>
    </x:row>
    <x:row r="321" spans="1:25" s="48" customFormat="1" ht="17.25">
      <x:c r="A321" s="93" t="s">
        <x:v>437</x:v>
      </x:c>
      <x:c r="B321" s="94"/>
      <x:c r="C321" s="94"/>
      <x:c r="D321" s="94"/>
      <x:c r="E321" s="94"/>
      <x:c r="F321" s="95" t="s">
        <x:v>438</x:v>
      </x:c>
      <x:c r="G321" s="94" t="s">
        <x:v>1062</x:v>
      </x:c>
      <x:c r="H321" s="94"/>
      <x:c r="I321" s="94"/>
      <x:c r="J321" s="94"/>
      <x:c r="K321" s="94"/>
      <x:c r="L321" s="94"/>
      <x:c r="M321" s="94"/>
      <x:c r="N321" s="94"/>
      <x:c r="O321" s="94"/>
      <x:c r="P321" s="94"/>
      <x:c r="Q321" s="94"/>
      <x:c r="R321" s="94"/>
      <x:c r="S321" s="94"/>
      <x:c r="T321" s="94"/>
      <x:c r="U321" s="94"/>
      <x:c r="V321" s="94"/>
      <x:c r="W321" s="1073" t="s">
        <x:v>420</x:v>
      </x:c>
    </x:row>
    <x:row r="322" spans="1:25" s="48" customFormat="1" ht="13.5">
      <x:c r="A322" s="1225" t="s">
        <x:v>421</x:v>
      </x:c>
      <x:c r="B322" s="1220" t="s">
        <x:v>309</x:v>
      </x:c>
      <x:c r="C322" s="1227" t="s">
        <x:v>422</x:v>
      </x:c>
      <x:c r="D322" s="1228"/>
      <x:c r="E322" s="1229"/>
      <x:c r="F322" s="1230" t="s">
        <x:v>423</x:v>
      </x:c>
      <x:c r="G322" s="1220" t="s">
        <x:v>424</x:v>
      </x:c>
      <x:c r="H322" s="1220" t="s">
        <x:v>425</x:v>
      </x:c>
      <x:c r="I322" s="1220" t="s">
        <x:v>426</x:v>
      </x:c>
      <x:c r="J322" s="1213" t="s">
        <x:v>427</x:v>
      </x:c>
      <x:c r="K322" s="1214"/>
      <x:c r="L322" s="1214"/>
      <x:c r="M322" s="1214"/>
      <x:c r="N322" s="1214"/>
      <x:c r="O322" s="1214"/>
      <x:c r="P322" s="1214"/>
      <x:c r="Q322" s="1214"/>
      <x:c r="R322" s="1214"/>
      <x:c r="S322" s="1214"/>
      <x:c r="T322" s="1214"/>
      <x:c r="U322" s="1214"/>
      <x:c r="V322" s="1215"/>
      <x:c r="W322" s="1216" t="s">
        <x:v>426</x:v>
      </x:c>
      <x:c r="X322" s="841" t="s">
        <x:v>1277</x:v>
      </x:c>
      <x:c r="Y322" s="841" t="s">
        <x:v>1273</x:v>
      </x:c>
    </x:row>
    <x:row r="323" spans="1:25" s="48" customFormat="1" ht="14.25" thickBot="1">
      <x:c r="A323" s="1232"/>
      <x:c r="B323" s="1221"/>
      <x:c r="C323" s="270">
        <x:v>1</x:v>
      </x:c>
      <x:c r="D323" s="270">
        <x:v>2</x:v>
      </x:c>
      <x:c r="E323" s="270">
        <x:v>3</x:v>
      </x:c>
      <x:c r="F323" s="1233"/>
      <x:c r="G323" s="1221"/>
      <x:c r="H323" s="1221"/>
      <x:c r="I323" s="1221"/>
      <x:c r="J323" s="271" t="s">
        <x:v>428</x:v>
      </x:c>
      <x:c r="K323" s="271" t="s">
        <x:v>318</x:v>
      </x:c>
      <x:c r="L323" s="271" t="s">
        <x:v>319</x:v>
      </x:c>
      <x:c r="M323" s="271" t="s">
        <x:v>320</x:v>
      </x:c>
      <x:c r="N323" s="271" t="s">
        <x:v>321</x:v>
      </x:c>
      <x:c r="O323" s="271" t="s">
        <x:v>322</x:v>
      </x:c>
      <x:c r="P323" s="271" t="s">
        <x:v>323</x:v>
      </x:c>
      <x:c r="Q323" s="271" t="s">
        <x:v>324</x:v>
      </x:c>
      <x:c r="R323" s="271" t="s">
        <x:v>325</x:v>
      </x:c>
      <x:c r="S323" s="271" t="s">
        <x:v>326</x:v>
      </x:c>
      <x:c r="T323" s="271" t="s">
        <x:v>327</x:v>
      </x:c>
      <x:c r="U323" s="271" t="s">
        <x:v>328</x:v>
      </x:c>
      <x:c r="V323" s="272" t="s">
        <x:v>429</x:v>
      </x:c>
      <x:c r="W323" s="1222"/>
      <x:c r="X323" s="841" t="s">
        <x:v>1278</x:v>
      </x:c>
      <x:c r="Y323" s="841"/>
    </x:row>
    <x:row r="324" spans="1:25" s="48" customFormat="1" ht="14.25" thickTop="1">
      <x:c r="A324" s="51" t="s">
        <x:v>330</x:v>
      </x:c>
      <x:c r="B324" s="52" t="s">
        <x:v>331</x:v>
      </x:c>
      <x:c r="C324" s="53" t="s">
        <x:v>332</x:v>
      </x:c>
      <x:c r="D324" s="53"/>
      <x:c r="E324" s="53"/>
      <x:c r="F324" s="53" t="s">
        <x:v>333</x:v>
      </x:c>
      <x:c r="G324" s="54" t="s">
        <x:v>334</x:v>
      </x:c>
      <x:c r="H324" s="53">
        <x:v>1</x:v>
      </x:c>
      <x:c r="I324" s="53" t="s">
        <x:v>1088</x:v>
      </x:c>
      <x:c r="J324" s="96">
        <x:v>76.485100000000003</x:v>
      </x:c>
      <x:c r="K324" s="96">
        <x:v>76.485100000000003</x:v>
      </x:c>
      <x:c r="L324" s="96">
        <x:v>76.485100000000003</x:v>
      </x:c>
      <x:c r="M324" s="96">
        <x:v>76.485100000000003</x:v>
      </x:c>
      <x:c r="N324" s="96">
        <x:v>76.485100000000003</x:v>
      </x:c>
      <x:c r="O324" s="96">
        <x:v>76.485100000000003</x:v>
      </x:c>
      <x:c r="P324" s="96">
        <x:v>76.485100000000003</x:v>
      </x:c>
      <x:c r="Q324" s="96">
        <x:v>76.485100000000003</x:v>
      </x:c>
      <x:c r="R324" s="96">
        <x:v>76.485100000000003</x:v>
      </x:c>
      <x:c r="S324" s="96">
        <x:v>76.485100000000003</x:v>
      </x:c>
      <x:c r="T324" s="96">
        <x:v>76.485100000000003</x:v>
      </x:c>
      <x:c r="U324" s="96">
        <x:v>76.485100000000003</x:v>
      </x:c>
      <x:c r="V324" s="132"/>
      <x:c r="W324" s="1046" t="s">
        <x:v>335</x:v>
      </x:c>
      <x:c r="X324" s="861">
        <x:v>76.510000000000005</x:v>
      </x:c>
      <x:c r="Y324" s="861">
        <x:f t="shared" ref="Y324:Y375" si="186">+U324-X324</x:f>
        <x:v>-2.4900000000002365E-2</x:v>
      </x:c>
    </x:row>
    <x:row r="325" spans="1:25" s="48" customFormat="1" ht="13.5">
      <x:c r="A325" s="58" t="s">
        <x:v>336</x:v>
      </x:c>
      <x:c r="B325" s="59"/>
      <x:c r="C325" s="235" t="s">
        <x:v>332</x:v>
      </x:c>
      <x:c r="D325" s="235"/>
      <x:c r="E325" s="235"/>
      <x:c r="F325" s="235" t="s">
        <x:v>337</x:v>
      </x:c>
      <x:c r="G325" s="236" t="s">
        <x:v>338</x:v>
      </x:c>
      <x:c r="H325" s="235">
        <x:v>1</x:v>
      </x:c>
      <x:c r="I325" s="235" t="s">
        <x:v>1089</x:v>
      </x:c>
      <x:c r="J325" s="273">
        <x:v>15.742699999999999</x:v>
      </x:c>
      <x:c r="K325" s="273">
        <x:v>15.742699999999999</x:v>
      </x:c>
      <x:c r="L325" s="273">
        <x:v>15.742699999999999</x:v>
      </x:c>
      <x:c r="M325" s="273">
        <x:v>15.742699999999999</x:v>
      </x:c>
      <x:c r="N325" s="273">
        <x:v>15.742699999999999</x:v>
      </x:c>
      <x:c r="O325" s="273">
        <x:v>15.742699999999999</x:v>
      </x:c>
      <x:c r="P325" s="273">
        <x:v>15.742699999999999</x:v>
      </x:c>
      <x:c r="Q325" s="273">
        <x:v>15.742699999999999</x:v>
      </x:c>
      <x:c r="R325" s="273">
        <x:v>15.742699999999999</x:v>
      </x:c>
      <x:c r="S325" s="273">
        <x:v>15.742699999999999</x:v>
      </x:c>
      <x:c r="T325" s="273">
        <x:v>15.742699999999999</x:v>
      </x:c>
      <x:c r="U325" s="273">
        <x:v>15.742699999999999</x:v>
      </x:c>
      <x:c r="V325" s="133"/>
      <x:c r="W325" s="1046" t="s">
        <x:v>339</x:v>
      </x:c>
      <x:c r="X325" s="861">
        <x:v>15.75</x:v>
      </x:c>
      <x:c r="Y325" s="861">
        <x:f t="shared" si="186"/>
        <x:v>-7.3000000000007503E-3</x:v>
      </x:c>
    </x:row>
    <x:row r="326" spans="1:25" s="48" customFormat="1" ht="13.5">
      <x:c r="A326" s="58"/>
      <x:c r="B326" s="59"/>
      <x:c r="C326" s="61" t="s">
        <x:v>332</x:v>
      </x:c>
      <x:c r="D326" s="61"/>
      <x:c r="E326" s="61"/>
      <x:c r="F326" s="61" t="s">
        <x:v>340</x:v>
      </x:c>
      <x:c r="G326" s="62" t="s">
        <x:v>341</x:v>
      </x:c>
      <x:c r="H326" s="61">
        <x:v>3</x:v>
      </x:c>
      <x:c r="I326" s="61" t="s">
        <x:v>1089</x:v>
      </x:c>
      <x:c r="J326" s="274">
        <x:v>2.6781999999999999</x:v>
      </x:c>
      <x:c r="K326" s="274">
        <x:v>2.6781999999999999</x:v>
      </x:c>
      <x:c r="L326" s="274">
        <x:v>2.6781999999999999</x:v>
      </x:c>
      <x:c r="M326" s="274">
        <x:v>2.6781999999999999</x:v>
      </x:c>
      <x:c r="N326" s="274">
        <x:v>2.6781999999999999</x:v>
      </x:c>
      <x:c r="O326" s="274">
        <x:v>2.6781999999999999</x:v>
      </x:c>
      <x:c r="P326" s="274">
        <x:v>2.6781999999999999</x:v>
      </x:c>
      <x:c r="Q326" s="274">
        <x:v>2.6781999999999999</x:v>
      </x:c>
      <x:c r="R326" s="274">
        <x:v>2.6781999999999999</x:v>
      </x:c>
      <x:c r="S326" s="274">
        <x:v>2.6781999999999999</x:v>
      </x:c>
      <x:c r="T326" s="274">
        <x:v>2.6781999999999999</x:v>
      </x:c>
      <x:c r="U326" s="274">
        <x:v>2.6781999999999999</x:v>
      </x:c>
      <x:c r="V326" s="134"/>
      <x:c r="W326" s="1046" t="s">
        <x:v>339</x:v>
      </x:c>
      <x:c r="X326" s="861">
        <x:v>2.688429287660183</x:v>
      </x:c>
      <x:c r="Y326" s="861">
        <x:f t="shared" si="186"/>
        <x:v>-1.0229287660183051E-2</x:v>
      </x:c>
    </x:row>
    <x:row r="327" spans="1:25" s="48" customFormat="1" ht="13.5">
      <x:c r="A327" s="58"/>
      <x:c r="B327" s="59"/>
      <x:c r="C327" s="240" t="s">
        <x:v>332</x:v>
      </x:c>
      <x:c r="D327" s="240"/>
      <x:c r="E327" s="240"/>
      <x:c r="F327" s="240" t="s">
        <x:v>342</x:v>
      </x:c>
      <x:c r="G327" s="241" t="s">
        <x:v>343</x:v>
      </x:c>
      <x:c r="H327" s="240">
        <x:v>3</x:v>
      </x:c>
      <x:c r="I327" s="240" t="s">
        <x:v>1089</x:v>
      </x:c>
      <x:c r="J327" s="274">
        <x:v>3.3736999999999999</x:v>
      </x:c>
      <x:c r="K327" s="274">
        <x:v>3.3736999999999999</x:v>
      </x:c>
      <x:c r="L327" s="274">
        <x:v>3.3736999999999999</x:v>
      </x:c>
      <x:c r="M327" s="274">
        <x:v>3.3736999999999999</x:v>
      </x:c>
      <x:c r="N327" s="274">
        <x:v>3.3736999999999999</x:v>
      </x:c>
      <x:c r="O327" s="274">
        <x:v>3.3736999999999999</x:v>
      </x:c>
      <x:c r="P327" s="274">
        <x:v>3.3736999999999999</x:v>
      </x:c>
      <x:c r="Q327" s="274">
        <x:v>3.3736999999999999</x:v>
      </x:c>
      <x:c r="R327" s="274">
        <x:v>3.3736999999999999</x:v>
      </x:c>
      <x:c r="S327" s="274">
        <x:v>3.3736999999999999</x:v>
      </x:c>
      <x:c r="T327" s="274">
        <x:v>3.3736999999999999</x:v>
      </x:c>
      <x:c r="U327" s="274">
        <x:v>3.3736999999999999</x:v>
      </x:c>
      <x:c r="V327" s="134"/>
      <x:c r="W327" s="1046" t="s">
        <x:v>339</x:v>
      </x:c>
      <x:c r="X327" s="861">
        <x:v>3.3899203321237543</x:v>
      </x:c>
      <x:c r="Y327" s="861">
        <x:f t="shared" si="186"/>
        <x:v>-1.62203321237544E-2</x:v>
      </x:c>
    </x:row>
    <x:row r="328" spans="1:25" s="48" customFormat="1" ht="13.5">
      <x:c r="A328" s="58"/>
      <x:c r="B328" s="59"/>
      <x:c r="C328" s="235" t="s">
        <x:v>332</x:v>
      </x:c>
      <x:c r="D328" s="235"/>
      <x:c r="E328" s="235"/>
      <x:c r="F328" s="235" t="s">
        <x:v>344</x:v>
      </x:c>
      <x:c r="G328" s="236" t="s">
        <x:v>345</x:v>
      </x:c>
      <x:c r="H328" s="235">
        <x:v>1</x:v>
      </x:c>
      <x:c r="I328" s="235" t="s">
        <x:v>1089</x:v>
      </x:c>
      <x:c r="J328" s="275">
        <x:v>1.7298</x:v>
      </x:c>
      <x:c r="K328" s="274">
        <x:v>1.7298</x:v>
      </x:c>
      <x:c r="L328" s="274">
        <x:v>1.7298</x:v>
      </x:c>
      <x:c r="M328" s="274">
        <x:v>1.7298</x:v>
      </x:c>
      <x:c r="N328" s="274">
        <x:v>1.7298</x:v>
      </x:c>
      <x:c r="O328" s="274">
        <x:v>1.7298</x:v>
      </x:c>
      <x:c r="P328" s="274">
        <x:v>1.7298</x:v>
      </x:c>
      <x:c r="Q328" s="274">
        <x:v>1.7298</x:v>
      </x:c>
      <x:c r="R328" s="274">
        <x:v>1.7298</x:v>
      </x:c>
      <x:c r="S328" s="274">
        <x:v>1.7298</x:v>
      </x:c>
      <x:c r="T328" s="274">
        <x:v>1.7298</x:v>
      </x:c>
      <x:c r="U328" s="274">
        <x:v>1.7298</x:v>
      </x:c>
      <x:c r="V328" s="134"/>
      <x:c r="W328" s="1046" t="s">
        <x:v>339</x:v>
      </x:c>
      <x:c r="X328" s="861">
        <x:v>1.7348844631020459</x:v>
      </x:c>
      <x:c r="Y328" s="861">
        <x:f t="shared" si="186"/>
        <x:v>-5.0844631020459108E-3</x:v>
      </x:c>
    </x:row>
    <x:row r="329" spans="1:25" s="48" customFormat="1" ht="13.5">
      <x:c r="A329" s="58"/>
      <x:c r="B329" s="66" t="s">
        <x:v>346</x:v>
      </x:c>
      <x:c r="C329" s="67" t="s">
        <x:v>332</x:v>
      </x:c>
      <x:c r="D329" s="67"/>
      <x:c r="E329" s="67"/>
      <x:c r="F329" s="67" t="s">
        <x:v>333</x:v>
      </x:c>
      <x:c r="G329" s="68" t="s">
        <x:v>334</x:v>
      </x:c>
      <x:c r="H329" s="67">
        <x:v>1</x:v>
      </x:c>
      <x:c r="I329" s="67" t="s">
        <x:v>1088</x:v>
      </x:c>
      <x:c r="J329" s="276">
        <x:v>76.485100000000003</x:v>
      </x:c>
      <x:c r="K329" s="100">
        <x:v>76.485100000000003</x:v>
      </x:c>
      <x:c r="L329" s="100">
        <x:v>76.485100000000003</x:v>
      </x:c>
      <x:c r="M329" s="100">
        <x:v>76.485100000000003</x:v>
      </x:c>
      <x:c r="N329" s="100">
        <x:v>76.485100000000003</x:v>
      </x:c>
      <x:c r="O329" s="100">
        <x:v>76.485100000000003</x:v>
      </x:c>
      <x:c r="P329" s="100">
        <x:v>76.485100000000003</x:v>
      </x:c>
      <x:c r="Q329" s="100">
        <x:v>76.485100000000003</x:v>
      </x:c>
      <x:c r="R329" s="100">
        <x:v>76.485100000000003</x:v>
      </x:c>
      <x:c r="S329" s="100">
        <x:v>76.485100000000003</x:v>
      </x:c>
      <x:c r="T329" s="100">
        <x:v>76.485100000000003</x:v>
      </x:c>
      <x:c r="U329" s="100">
        <x:v>76.485100000000003</x:v>
      </x:c>
      <x:c r="V329" s="135"/>
      <x:c r="W329" s="1052" t="s">
        <x:v>347</x:v>
      </x:c>
      <x:c r="X329" s="861">
        <x:v>76.510000000000005</x:v>
      </x:c>
      <x:c r="Y329" s="861">
        <x:f t="shared" si="186"/>
        <x:v>-2.4900000000002365E-2</x:v>
      </x:c>
    </x:row>
    <x:row r="330" spans="1:25" s="48" customFormat="1" ht="13.5">
      <x:c r="A330" s="58"/>
      <x:c r="B330" s="59"/>
      <x:c r="C330" s="235" t="s">
        <x:v>332</x:v>
      </x:c>
      <x:c r="D330" s="235"/>
      <x:c r="E330" s="235"/>
      <x:c r="F330" s="235" t="s">
        <x:v>337</x:v>
      </x:c>
      <x:c r="G330" s="236" t="s">
        <x:v>338</x:v>
      </x:c>
      <x:c r="H330" s="235">
        <x:v>1</x:v>
      </x:c>
      <x:c r="I330" s="235" t="s">
        <x:v>1089</x:v>
      </x:c>
      <x:c r="J330" s="277">
        <x:v>15.742699999999999</x:v>
      </x:c>
      <x:c r="K330" s="273">
        <x:v>15.742699999999999</x:v>
      </x:c>
      <x:c r="L330" s="273">
        <x:v>15.742699999999999</x:v>
      </x:c>
      <x:c r="M330" s="273">
        <x:v>15.742699999999999</x:v>
      </x:c>
      <x:c r="N330" s="273">
        <x:v>15.742699999999999</x:v>
      </x:c>
      <x:c r="O330" s="273">
        <x:v>15.742699999999999</x:v>
      </x:c>
      <x:c r="P330" s="273">
        <x:v>15.742699999999999</x:v>
      </x:c>
      <x:c r="Q330" s="273">
        <x:v>15.742699999999999</x:v>
      </x:c>
      <x:c r="R330" s="273">
        <x:v>15.742699999999999</x:v>
      </x:c>
      <x:c r="S330" s="273">
        <x:v>15.742699999999999</x:v>
      </x:c>
      <x:c r="T330" s="273">
        <x:v>15.742699999999999</x:v>
      </x:c>
      <x:c r="U330" s="273">
        <x:v>15.742699999999999</x:v>
      </x:c>
      <x:c r="V330" s="133"/>
      <x:c r="W330" s="1046" t="s">
        <x:v>339</x:v>
      </x:c>
      <x:c r="X330" s="861">
        <x:v>15.75</x:v>
      </x:c>
      <x:c r="Y330" s="861">
        <x:f t="shared" si="186"/>
        <x:v>-7.3000000000007503E-3</x:v>
      </x:c>
    </x:row>
    <x:row r="331" spans="1:25" s="48" customFormat="1" ht="13.5">
      <x:c r="A331" s="58"/>
      <x:c r="B331" s="59"/>
      <x:c r="C331" s="61" t="s">
        <x:v>332</x:v>
      </x:c>
      <x:c r="D331" s="61"/>
      <x:c r="E331" s="61"/>
      <x:c r="F331" s="61" t="s">
        <x:v>340</x:v>
      </x:c>
      <x:c r="G331" s="62" t="s">
        <x:v>341</x:v>
      </x:c>
      <x:c r="H331" s="61">
        <x:v>3</x:v>
      </x:c>
      <x:c r="I331" s="61" t="s">
        <x:v>1089</x:v>
      </x:c>
      <x:c r="J331" s="278">
        <x:v>2.6781999999999999</x:v>
      </x:c>
      <x:c r="K331" s="102">
        <x:v>2.6781999999999999</x:v>
      </x:c>
      <x:c r="L331" s="102">
        <x:v>2.6781999999999999</x:v>
      </x:c>
      <x:c r="M331" s="102">
        <x:v>2.6781999999999999</x:v>
      </x:c>
      <x:c r="N331" s="102">
        <x:v>2.6781999999999999</x:v>
      </x:c>
      <x:c r="O331" s="102">
        <x:v>2.6781999999999999</x:v>
      </x:c>
      <x:c r="P331" s="102">
        <x:v>2.6781999999999999</x:v>
      </x:c>
      <x:c r="Q331" s="102">
        <x:v>2.6781999999999999</x:v>
      </x:c>
      <x:c r="R331" s="102">
        <x:v>2.6781999999999999</x:v>
      </x:c>
      <x:c r="S331" s="102">
        <x:v>2.6781999999999999</x:v>
      </x:c>
      <x:c r="T331" s="102">
        <x:v>2.6781999999999999</x:v>
      </x:c>
      <x:c r="U331" s="102">
        <x:v>2.6781999999999999</x:v>
      </x:c>
      <x:c r="V331" s="136"/>
      <x:c r="W331" s="1046" t="s">
        <x:v>339</x:v>
      </x:c>
      <x:c r="X331" s="861">
        <x:v>2.688429287660183</x:v>
      </x:c>
      <x:c r="Y331" s="861">
        <x:f t="shared" si="186"/>
        <x:v>-1.0229287660183051E-2</x:v>
      </x:c>
    </x:row>
    <x:row r="332" spans="1:25" s="48" customFormat="1" ht="13.5">
      <x:c r="A332" s="58"/>
      <x:c r="B332" s="59"/>
      <x:c r="C332" s="240" t="s">
        <x:v>332</x:v>
      </x:c>
      <x:c r="D332" s="240"/>
      <x:c r="E332" s="240"/>
      <x:c r="F332" s="240" t="s">
        <x:v>342</x:v>
      </x:c>
      <x:c r="G332" s="241" t="s">
        <x:v>343</x:v>
      </x:c>
      <x:c r="H332" s="240">
        <x:v>3</x:v>
      </x:c>
      <x:c r="I332" s="240" t="s">
        <x:v>1089</x:v>
      </x:c>
      <x:c r="J332" s="275">
        <x:v>3.3736999999999999</x:v>
      </x:c>
      <x:c r="K332" s="274">
        <x:v>3.3736999999999999</x:v>
      </x:c>
      <x:c r="L332" s="274">
        <x:v>3.3736999999999999</x:v>
      </x:c>
      <x:c r="M332" s="274">
        <x:v>3.3736999999999999</x:v>
      </x:c>
      <x:c r="N332" s="274">
        <x:v>3.3736999999999999</x:v>
      </x:c>
      <x:c r="O332" s="274">
        <x:v>3.3736999999999999</x:v>
      </x:c>
      <x:c r="P332" s="274">
        <x:v>3.3736999999999999</x:v>
      </x:c>
      <x:c r="Q332" s="274">
        <x:v>3.3736999999999999</x:v>
      </x:c>
      <x:c r="R332" s="274">
        <x:v>3.3736999999999999</x:v>
      </x:c>
      <x:c r="S332" s="274">
        <x:v>3.3736999999999999</x:v>
      </x:c>
      <x:c r="T332" s="274">
        <x:v>3.3736999999999999</x:v>
      </x:c>
      <x:c r="U332" s="274">
        <x:v>3.3736999999999999</x:v>
      </x:c>
      <x:c r="V332" s="136"/>
      <x:c r="W332" s="1046" t="s">
        <x:v>339</x:v>
      </x:c>
      <x:c r="X332" s="861">
        <x:v>3.3899203321237543</x:v>
      </x:c>
      <x:c r="Y332" s="861">
        <x:f t="shared" si="186"/>
        <x:v>-1.62203321237544E-2</x:v>
      </x:c>
    </x:row>
    <x:row r="333" spans="1:25" s="48" customFormat="1" ht="13.5">
      <x:c r="A333" s="58"/>
      <x:c r="B333" s="69"/>
      <x:c r="C333" s="240" t="s">
        <x:v>332</x:v>
      </x:c>
      <x:c r="D333" s="240"/>
      <x:c r="E333" s="240"/>
      <x:c r="F333" s="240" t="s">
        <x:v>344</x:v>
      </x:c>
      <x:c r="G333" s="241" t="s">
        <x:v>345</x:v>
      </x:c>
      <x:c r="H333" s="240">
        <x:v>1</x:v>
      </x:c>
      <x:c r="I333" s="240" t="s">
        <x:v>1089</x:v>
      </x:c>
      <x:c r="J333" s="275">
        <x:v>1.7298</x:v>
      </x:c>
      <x:c r="K333" s="274">
        <x:v>1.7298</x:v>
      </x:c>
      <x:c r="L333" s="274">
        <x:v>1.7298</x:v>
      </x:c>
      <x:c r="M333" s="274">
        <x:v>1.7298</x:v>
      </x:c>
      <x:c r="N333" s="274">
        <x:v>1.7298</x:v>
      </x:c>
      <x:c r="O333" s="274">
        <x:v>1.7298</x:v>
      </x:c>
      <x:c r="P333" s="274">
        <x:v>1.7298</x:v>
      </x:c>
      <x:c r="Q333" s="274">
        <x:v>1.7298</x:v>
      </x:c>
      <x:c r="R333" s="274">
        <x:v>1.7298</x:v>
      </x:c>
      <x:c r="S333" s="274">
        <x:v>1.7298</x:v>
      </x:c>
      <x:c r="T333" s="274">
        <x:v>1.7298</x:v>
      </x:c>
      <x:c r="U333" s="274">
        <x:v>1.7298</x:v>
      </x:c>
      <x:c r="V333" s="136"/>
      <x:c r="W333" s="1046" t="s">
        <x:v>339</x:v>
      </x:c>
      <x:c r="X333" s="861">
        <x:v>1.7348844631020459</x:v>
      </x:c>
      <x:c r="Y333" s="861">
        <x:f t="shared" si="186"/>
        <x:v>-5.0844631020459108E-3</x:v>
      </x:c>
    </x:row>
    <x:row r="334" spans="1:25" s="48" customFormat="1" ht="13.5">
      <x:c r="A334" s="58"/>
      <x:c r="B334" s="66" t="s">
        <x:v>1034</x:v>
      </x:c>
      <x:c r="C334" s="235" t="s">
        <x:v>332</x:v>
      </x:c>
      <x:c r="D334" s="235"/>
      <x:c r="E334" s="235"/>
      <x:c r="F334" s="235" t="s">
        <x:v>1090</x:v>
      </x:c>
      <x:c r="G334" s="236" t="s">
        <x:v>1091</x:v>
      </x:c>
      <x:c r="H334" s="235">
        <x:v>1</x:v>
      </x:c>
      <x:c r="I334" s="235" t="s">
        <x:v>1089</x:v>
      </x:c>
      <x:c r="J334" s="277">
        <x:v>114.38</x:v>
      </x:c>
      <x:c r="K334" s="277">
        <x:v>114.38</x:v>
      </x:c>
      <x:c r="L334" s="277">
        <x:v>114.38</x:v>
      </x:c>
      <x:c r="M334" s="277">
        <x:v>114.38</x:v>
      </x:c>
      <x:c r="N334" s="277">
        <x:v>114.38</x:v>
      </x:c>
      <x:c r="O334" s="277">
        <x:v>114.38</x:v>
      </x:c>
      <x:c r="P334" s="277">
        <x:v>114.38</x:v>
      </x:c>
      <x:c r="Q334" s="277">
        <x:v>114.38</x:v>
      </x:c>
      <x:c r="R334" s="277">
        <x:v>114.38</x:v>
      </x:c>
      <x:c r="S334" s="277">
        <x:v>114.38</x:v>
      </x:c>
      <x:c r="T334" s="277">
        <x:v>114.38</x:v>
      </x:c>
      <x:c r="U334" s="277">
        <x:v>114.38</x:v>
      </x:c>
      <x:c r="V334" s="133"/>
      <x:c r="W334" s="1046" t="s">
        <x:v>349</x:v>
      </x:c>
      <x:c r="X334" s="861">
        <x:v>105.62</x:v>
      </x:c>
      <x:c r="Y334" s="861">
        <x:f t="shared" si="186"/>
        <x:v>8.7599999999999909</x:v>
      </x:c>
    </x:row>
    <x:row r="335" spans="1:25" s="48" customFormat="1" ht="13.5">
      <x:c r="A335" s="58"/>
      <x:c r="B335" s="70"/>
      <x:c r="C335" s="235" t="s">
        <x:v>332</x:v>
      </x:c>
      <x:c r="D335" s="235"/>
      <x:c r="E335" s="235"/>
      <x:c r="F335" s="235" t="s">
        <x:v>366</x:v>
      </x:c>
      <x:c r="G335" s="236" t="s">
        <x:v>1035</x:v>
      </x:c>
      <x:c r="H335" s="235">
        <x:v>1</x:v>
      </x:c>
      <x:c r="I335" s="235" t="s">
        <x:v>1089</x:v>
      </x:c>
      <x:c r="J335" s="277">
        <x:v>21.613099999999999</x:v>
      </x:c>
      <x:c r="K335" s="277">
        <x:v>21.613099999999999</x:v>
      </x:c>
      <x:c r="L335" s="277">
        <x:v>21.613099999999999</x:v>
      </x:c>
      <x:c r="M335" s="277">
        <x:v>21.613099999999999</x:v>
      </x:c>
      <x:c r="N335" s="277">
        <x:v>21.613099999999999</x:v>
      </x:c>
      <x:c r="O335" s="277">
        <x:v>21.613099999999999</x:v>
      </x:c>
      <x:c r="P335" s="277">
        <x:v>21.613099999999999</x:v>
      </x:c>
      <x:c r="Q335" s="277">
        <x:v>21.613099999999999</x:v>
      </x:c>
      <x:c r="R335" s="277">
        <x:v>21.613099999999999</x:v>
      </x:c>
      <x:c r="S335" s="277">
        <x:v>21.613099999999999</x:v>
      </x:c>
      <x:c r="T335" s="277">
        <x:v>21.613099999999999</x:v>
      </x:c>
      <x:c r="U335" s="277">
        <x:v>21.613099999999999</x:v>
      </x:c>
      <x:c r="V335" s="133"/>
      <x:c r="W335" s="1046"/>
      <x:c r="X335" s="861">
        <x:v>21.610011463026492</x:v>
      </x:c>
      <x:c r="Y335" s="861">
        <x:f t="shared" si="186"/>
        <x:v>3.0885369735074164E-3</x:v>
      </x:c>
    </x:row>
    <x:row r="336" spans="1:25" s="48" customFormat="1" ht="13.5">
      <x:c r="A336" s="58"/>
      <x:c r="B336" s="70"/>
      <x:c r="C336" s="240" t="s">
        <x:v>332</x:v>
      </x:c>
      <x:c r="D336" s="240"/>
      <x:c r="E336" s="240"/>
      <x:c r="F336" s="240" t="s">
        <x:v>351</x:v>
      </x:c>
      <x:c r="G336" s="241" t="s">
        <x:v>1036</x:v>
      </x:c>
      <x:c r="H336" s="240">
        <x:v>1</x:v>
      </x:c>
      <x:c r="I336" s="240" t="s">
        <x:v>1089</x:v>
      </x:c>
      <x:c r="J336" s="275">
        <x:v>13.3588</x:v>
      </x:c>
      <x:c r="K336" s="275">
        <x:v>13.3588</x:v>
      </x:c>
      <x:c r="L336" s="275">
        <x:v>13.3588</x:v>
      </x:c>
      <x:c r="M336" s="275">
        <x:v>13.3588</x:v>
      </x:c>
      <x:c r="N336" s="275">
        <x:v>13.3588</x:v>
      </x:c>
      <x:c r="O336" s="275">
        <x:v>13.3588</x:v>
      </x:c>
      <x:c r="P336" s="275">
        <x:v>13.3588</x:v>
      </x:c>
      <x:c r="Q336" s="275">
        <x:v>13.3588</x:v>
      </x:c>
      <x:c r="R336" s="275">
        <x:v>13.3588</x:v>
      </x:c>
      <x:c r="S336" s="275">
        <x:v>13.3588</x:v>
      </x:c>
      <x:c r="T336" s="275">
        <x:v>13.3588</x:v>
      </x:c>
      <x:c r="U336" s="275">
        <x:v>13.3588</x:v>
      </x:c>
      <x:c r="V336" s="136"/>
      <x:c r="W336" s="1046"/>
      <x:c r="X336" s="861">
        <x:v>13.581196746841499</x:v>
      </x:c>
      <x:c r="Y336" s="861">
        <x:f t="shared" si="186"/>
        <x:v>-0.22239674684149868</x:v>
      </x:c>
    </x:row>
    <x:row r="337" spans="1:25" s="48" customFormat="1" ht="13.5">
      <x:c r="A337" s="58"/>
      <x:c r="B337" s="70"/>
      <x:c r="C337" s="240" t="s">
        <x:v>332</x:v>
      </x:c>
      <x:c r="D337" s="240"/>
      <x:c r="E337" s="240"/>
      <x:c r="F337" s="240" t="s">
        <x:v>353</x:v>
      </x:c>
      <x:c r="G337" s="241" t="s">
        <x:v>1037</x:v>
      </x:c>
      <x:c r="H337" s="240">
        <x:v>3</x:v>
      </x:c>
      <x:c r="I337" s="240" t="s">
        <x:v>1089</x:v>
      </x:c>
      <x:c r="J337" s="275">
        <x:v>12.3751</x:v>
      </x:c>
      <x:c r="K337" s="275">
        <x:v>12.3751</x:v>
      </x:c>
      <x:c r="L337" s="275">
        <x:v>12.3751</x:v>
      </x:c>
      <x:c r="M337" s="275">
        <x:v>12.3751</x:v>
      </x:c>
      <x:c r="N337" s="275">
        <x:v>12.3751</x:v>
      </x:c>
      <x:c r="O337" s="275">
        <x:v>12.3751</x:v>
      </x:c>
      <x:c r="P337" s="275">
        <x:v>12.3751</x:v>
      </x:c>
      <x:c r="Q337" s="275">
        <x:v>12.3751</x:v>
      </x:c>
      <x:c r="R337" s="275">
        <x:v>12.3751</x:v>
      </x:c>
      <x:c r="S337" s="275">
        <x:v>12.3751</x:v>
      </x:c>
      <x:c r="T337" s="275">
        <x:v>12.3751</x:v>
      </x:c>
      <x:c r="U337" s="275">
        <x:v>12.3751</x:v>
      </x:c>
      <x:c r="V337" s="136"/>
      <x:c r="W337" s="1046"/>
      <x:c r="X337" s="861">
        <x:v>12.53500571266544</x:v>
      </x:c>
      <x:c r="Y337" s="861">
        <x:f t="shared" si="186"/>
        <x:v>-0.15990571266543974</x:v>
      </x:c>
    </x:row>
    <x:row r="338" spans="1:25" s="48" customFormat="1" ht="13.5">
      <x:c r="A338" s="58"/>
      <x:c r="B338" s="70"/>
      <x:c r="C338" s="240" t="s">
        <x:v>332</x:v>
      </x:c>
      <x:c r="D338" s="240"/>
      <x:c r="E338" s="240"/>
      <x:c r="F338" s="240" t="s">
        <x:v>354</x:v>
      </x:c>
      <x:c r="G338" s="241" t="s">
        <x:v>1038</x:v>
      </x:c>
      <x:c r="H338" s="240">
        <x:v>1</x:v>
      </x:c>
      <x:c r="I338" s="240" t="s">
        <x:v>1089</x:v>
      </x:c>
      <x:c r="J338" s="275">
        <x:v>15.070499999999999</x:v>
      </x:c>
      <x:c r="K338" s="275">
        <x:v>15.070499999999999</x:v>
      </x:c>
      <x:c r="L338" s="275">
        <x:v>15.070499999999999</x:v>
      </x:c>
      <x:c r="M338" s="275">
        <x:v>15.070499999999999</x:v>
      </x:c>
      <x:c r="N338" s="275">
        <x:v>15.070499999999999</x:v>
      </x:c>
      <x:c r="O338" s="275">
        <x:v>15.070499999999999</x:v>
      </x:c>
      <x:c r="P338" s="275">
        <x:v>15.070499999999999</x:v>
      </x:c>
      <x:c r="Q338" s="275">
        <x:v>15.070499999999999</x:v>
      </x:c>
      <x:c r="R338" s="275">
        <x:v>15.070499999999999</x:v>
      </x:c>
      <x:c r="S338" s="275">
        <x:v>15.070499999999999</x:v>
      </x:c>
      <x:c r="T338" s="275">
        <x:v>15.070499999999999</x:v>
      </x:c>
      <x:c r="U338" s="275">
        <x:v>15.070499999999999</x:v>
      </x:c>
      <x:c r="V338" s="134"/>
      <x:c r="W338" s="1046"/>
      <x:c r="X338" s="861">
        <x:v>15.3958814376525</x:v>
      </x:c>
      <x:c r="Y338" s="861">
        <x:f t="shared" si="186"/>
        <x:v>-0.32538143765250105</x:v>
      </x:c>
    </x:row>
    <x:row r="339" spans="1:25" s="48" customFormat="1" ht="13.5">
      <x:c r="A339" s="58"/>
      <x:c r="B339" s="70"/>
      <x:c r="C339" s="240" t="s">
        <x:v>332</x:v>
      </x:c>
      <x:c r="D339" s="240"/>
      <x:c r="E339" s="240"/>
      <x:c r="F339" s="240" t="s">
        <x:v>355</x:v>
      </x:c>
      <x:c r="G339" s="241" t="s">
        <x:v>1039</x:v>
      </x:c>
      <x:c r="H339" s="240">
        <x:v>1</x:v>
      </x:c>
      <x:c r="I339" s="240" t="s">
        <x:v>1089</x:v>
      </x:c>
      <x:c r="J339" s="275">
        <x:v>9.8233999999999995</x:v>
      </x:c>
      <x:c r="K339" s="275">
        <x:v>9.8233999999999995</x:v>
      </x:c>
      <x:c r="L339" s="275">
        <x:v>9.8233999999999995</x:v>
      </x:c>
      <x:c r="M339" s="275">
        <x:v>9.8233999999999995</x:v>
      </x:c>
      <x:c r="N339" s="275">
        <x:v>9.8233999999999995</x:v>
      </x:c>
      <x:c r="O339" s="275">
        <x:v>9.8233999999999995</x:v>
      </x:c>
      <x:c r="P339" s="275">
        <x:v>9.8233999999999995</x:v>
      </x:c>
      <x:c r="Q339" s="275">
        <x:v>9.8233999999999995</x:v>
      </x:c>
      <x:c r="R339" s="275">
        <x:v>9.8233999999999995</x:v>
      </x:c>
      <x:c r="S339" s="275">
        <x:v>9.8233999999999995</x:v>
      </x:c>
      <x:c r="T339" s="275">
        <x:v>9.8233999999999995</x:v>
      </x:c>
      <x:c r="U339" s="275">
        <x:v>9.8233999999999995</x:v>
      </x:c>
      <x:c r="V339" s="134"/>
      <x:c r="W339" s="1046"/>
      <x:c r="X339" s="861">
        <x:v>9.8286450914155967</x:v>
      </x:c>
      <x:c r="Y339" s="861">
        <x:f t="shared" si="186"/>
        <x:v>-5.2450914155972583E-3</x:v>
      </x:c>
    </x:row>
    <x:row r="340" spans="1:25" s="48" customFormat="1" ht="13.5">
      <x:c r="A340" s="58"/>
      <x:c r="B340" s="70"/>
      <x:c r="C340" s="240" t="s">
        <x:v>332</x:v>
      </x:c>
      <x:c r="D340" s="240"/>
      <x:c r="E340" s="240"/>
      <x:c r="F340" s="240" t="s">
        <x:v>356</x:v>
      </x:c>
      <x:c r="G340" s="241" t="s">
        <x:v>1040</x:v>
      </x:c>
      <x:c r="H340" s="240">
        <x:v>1</x:v>
      </x:c>
      <x:c r="I340" s="240" t="s">
        <x:v>1089</x:v>
      </x:c>
      <x:c r="J340" s="275">
        <x:v>13.860300000000001</x:v>
      </x:c>
      <x:c r="K340" s="275">
        <x:v>13.860300000000001</x:v>
      </x:c>
      <x:c r="L340" s="275">
        <x:v>13.860300000000001</x:v>
      </x:c>
      <x:c r="M340" s="275">
        <x:v>13.860300000000001</x:v>
      </x:c>
      <x:c r="N340" s="275">
        <x:v>13.860300000000001</x:v>
      </x:c>
      <x:c r="O340" s="275">
        <x:v>13.860300000000001</x:v>
      </x:c>
      <x:c r="P340" s="275">
        <x:v>13.860300000000001</x:v>
      </x:c>
      <x:c r="Q340" s="275">
        <x:v>13.860300000000001</x:v>
      </x:c>
      <x:c r="R340" s="275">
        <x:v>13.860300000000001</x:v>
      </x:c>
      <x:c r="S340" s="275">
        <x:v>13.860300000000001</x:v>
      </x:c>
      <x:c r="T340" s="275">
        <x:v>13.860300000000001</x:v>
      </x:c>
      <x:c r="U340" s="275">
        <x:v>13.860300000000001</x:v>
      </x:c>
      <x:c r="V340" s="134"/>
      <x:c r="W340" s="1046"/>
      <x:c r="X340" s="861">
        <x:v>14.042004770284132</x:v>
      </x:c>
      <x:c r="Y340" s="861">
        <x:f t="shared" si="186"/>
        <x:v>-0.18170477028413146</x:v>
      </x:c>
    </x:row>
    <x:row r="341" spans="1:25" s="48" customFormat="1" ht="13.5">
      <x:c r="A341" s="58"/>
      <x:c r="B341" s="70"/>
      <x:c r="C341" s="240" t="s">
        <x:v>332</x:v>
      </x:c>
      <x:c r="D341" s="235"/>
      <x:c r="E341" s="235"/>
      <x:c r="F341" s="235" t="s">
        <x:v>357</x:v>
      </x:c>
      <x:c r="G341" s="236" t="s">
        <x:v>1041</x:v>
      </x:c>
      <x:c r="H341" s="235">
        <x:v>1</x:v>
      </x:c>
      <x:c r="I341" s="235" t="s">
        <x:v>1089</x:v>
      </x:c>
      <x:c r="J341" s="275">
        <x:v>7.0850999999999997</x:v>
      </x:c>
      <x:c r="K341" s="275">
        <x:v>7.0850999999999997</x:v>
      </x:c>
      <x:c r="L341" s="275">
        <x:v>7.0850999999999997</x:v>
      </x:c>
      <x:c r="M341" s="275">
        <x:v>7.0850999999999997</x:v>
      </x:c>
      <x:c r="N341" s="275">
        <x:v>7.0850999999999997</x:v>
      </x:c>
      <x:c r="O341" s="275">
        <x:v>7.0850999999999997</x:v>
      </x:c>
      <x:c r="P341" s="275">
        <x:v>7.0850999999999997</x:v>
      </x:c>
      <x:c r="Q341" s="275">
        <x:v>7.0850999999999997</x:v>
      </x:c>
      <x:c r="R341" s="275">
        <x:v>7.0850999999999997</x:v>
      </x:c>
      <x:c r="S341" s="275">
        <x:v>7.0850999999999997</x:v>
      </x:c>
      <x:c r="T341" s="275">
        <x:v>7.0850999999999997</x:v>
      </x:c>
      <x:c r="U341" s="275">
        <x:v>7.0850999999999997</x:v>
      </x:c>
      <x:c r="V341" s="134"/>
      <x:c r="W341" s="1046"/>
      <x:c r="X341" s="861">
        <x:v>7.1102155771867341</x:v>
      </x:c>
      <x:c r="Y341" s="861">
        <x:f t="shared" si="186"/>
        <x:v>-2.5115577186734406E-2</x:v>
      </x:c>
    </x:row>
    <x:row r="342" spans="1:25" s="48" customFormat="1" ht="13.5">
      <x:c r="A342" s="58"/>
      <x:c r="B342" s="70"/>
      <x:c r="C342" s="240" t="s">
        <x:v>332</x:v>
      </x:c>
      <x:c r="D342" s="61"/>
      <x:c r="E342" s="71"/>
      <x:c r="F342" s="72" t="s">
        <x:v>358</x:v>
      </x:c>
      <x:c r="G342" s="62" t="s">
        <x:v>359</x:v>
      </x:c>
      <x:c r="H342" s="73">
        <x:v>1</x:v>
      </x:c>
      <x:c r="I342" s="240" t="s">
        <x:v>1089</x:v>
      </x:c>
      <x:c r="J342" s="275">
        <x:v>13.263</x:v>
      </x:c>
      <x:c r="K342" s="275">
        <x:v>13.263</x:v>
      </x:c>
      <x:c r="L342" s="275">
        <x:v>13.263</x:v>
      </x:c>
      <x:c r="M342" s="275">
        <x:v>13.263</x:v>
      </x:c>
      <x:c r="N342" s="275">
        <x:v>13.263</x:v>
      </x:c>
      <x:c r="O342" s="275">
        <x:v>13.263</x:v>
      </x:c>
      <x:c r="P342" s="275">
        <x:v>13.263</x:v>
      </x:c>
      <x:c r="Q342" s="275">
        <x:v>13.263</x:v>
      </x:c>
      <x:c r="R342" s="275">
        <x:v>13.263</x:v>
      </x:c>
      <x:c r="S342" s="275">
        <x:v>13.263</x:v>
      </x:c>
      <x:c r="T342" s="275">
        <x:v>13.263</x:v>
      </x:c>
      <x:c r="U342" s="275">
        <x:v>13.263</x:v>
      </x:c>
      <x:c r="V342" s="137"/>
      <x:c r="W342" s="1046"/>
      <x:c r="X342" s="861">
        <x:v>13.337406721976457</x:v>
      </x:c>
      <x:c r="Y342" s="861">
        <x:f t="shared" si="186"/>
        <x:v>-7.4406721976457035E-2</x:v>
      </x:c>
    </x:row>
    <x:row r="343" spans="1:25" s="48" customFormat="1" ht="13.5">
      <x:c r="A343" s="58"/>
      <x:c r="B343" s="70"/>
      <x:c r="C343" s="240" t="s">
        <x:v>332</x:v>
      </x:c>
      <x:c r="D343" s="240"/>
      <x:c r="E343" s="244"/>
      <x:c r="F343" s="245" t="s">
        <x:v>360</x:v>
      </x:c>
      <x:c r="G343" s="241" t="s">
        <x:v>1042</x:v>
      </x:c>
      <x:c r="H343" s="246">
        <x:v>1</x:v>
      </x:c>
      <x:c r="I343" s="240" t="s">
        <x:v>1089</x:v>
      </x:c>
      <x:c r="J343" s="275">
        <x:v>13.826599999999999</x:v>
      </x:c>
      <x:c r="K343" s="275">
        <x:v>13.826599999999999</x:v>
      </x:c>
      <x:c r="L343" s="275">
        <x:v>13.826599999999999</x:v>
      </x:c>
      <x:c r="M343" s="275">
        <x:v>13.826599999999999</x:v>
      </x:c>
      <x:c r="N343" s="275">
        <x:v>13.826599999999999</x:v>
      </x:c>
      <x:c r="O343" s="275">
        <x:v>13.826599999999999</x:v>
      </x:c>
      <x:c r="P343" s="275">
        <x:v>13.826599999999999</x:v>
      </x:c>
      <x:c r="Q343" s="275">
        <x:v>13.826599999999999</x:v>
      </x:c>
      <x:c r="R343" s="275">
        <x:v>13.826599999999999</x:v>
      </x:c>
      <x:c r="S343" s="275">
        <x:v>13.826599999999999</x:v>
      </x:c>
      <x:c r="T343" s="275">
        <x:v>13.826599999999999</x:v>
      </x:c>
      <x:c r="U343" s="275">
        <x:v>13.826599999999999</x:v>
      </x:c>
      <x:c r="V343" s="136"/>
      <x:c r="W343" s="1046"/>
      <x:c r="X343" s="861">
        <x:v>14.062775110655201</x:v>
      </x:c>
      <x:c r="Y343" s="861">
        <x:f t="shared" si="186"/>
        <x:v>-0.23617511065520169</x:v>
      </x:c>
    </x:row>
    <x:row r="344" spans="1:25" s="48" customFormat="1" ht="13.5">
      <x:c r="A344" s="58"/>
      <x:c r="B344" s="70"/>
      <x:c r="C344" s="240" t="s">
        <x:v>332</x:v>
      </x:c>
      <x:c r="D344" s="240"/>
      <x:c r="E344" s="240"/>
      <x:c r="F344" s="240" t="s">
        <x:v>361</x:v>
      </x:c>
      <x:c r="G344" s="241" t="s">
        <x:v>1043</x:v>
      </x:c>
      <x:c r="H344" s="240">
        <x:v>1</x:v>
      </x:c>
      <x:c r="I344" s="240" t="s">
        <x:v>1089</x:v>
      </x:c>
      <x:c r="J344" s="275">
        <x:v>12.636100000000001</x:v>
      </x:c>
      <x:c r="K344" s="275">
        <x:v>12.636100000000001</x:v>
      </x:c>
      <x:c r="L344" s="275">
        <x:v>12.636100000000001</x:v>
      </x:c>
      <x:c r="M344" s="275">
        <x:v>12.636100000000001</x:v>
      </x:c>
      <x:c r="N344" s="275">
        <x:v>12.636100000000001</x:v>
      </x:c>
      <x:c r="O344" s="275">
        <x:v>12.636100000000001</x:v>
      </x:c>
      <x:c r="P344" s="275">
        <x:v>12.636100000000001</x:v>
      </x:c>
      <x:c r="Q344" s="275">
        <x:v>12.636100000000001</x:v>
      </x:c>
      <x:c r="R344" s="275">
        <x:v>12.636100000000001</x:v>
      </x:c>
      <x:c r="S344" s="275">
        <x:v>12.636100000000001</x:v>
      </x:c>
      <x:c r="T344" s="275">
        <x:v>12.636100000000001</x:v>
      </x:c>
      <x:c r="U344" s="275">
        <x:v>12.636100000000001</x:v>
      </x:c>
      <x:c r="V344" s="136"/>
      <x:c r="W344" s="1046"/>
      <x:c r="X344" s="861">
        <x:v>12.779964320137983</x:v>
      </x:c>
      <x:c r="Y344" s="861">
        <x:f t="shared" si="186"/>
        <x:v>-0.14386432013798256</x:v>
      </x:c>
    </x:row>
    <x:row r="345" spans="1:25" s="48" customFormat="1" ht="13.5">
      <x:c r="A345" s="58"/>
      <x:c r="B345" s="70"/>
      <x:c r="C345" s="240" t="s">
        <x:v>332</x:v>
      </x:c>
      <x:c r="D345" s="235"/>
      <x:c r="E345" s="235"/>
      <x:c r="F345" s="235" t="s">
        <x:v>362</x:v>
      </x:c>
      <x:c r="G345" s="236" t="s">
        <x:v>1044</x:v>
      </x:c>
      <x:c r="H345" s="235">
        <x:v>1</x:v>
      </x:c>
      <x:c r="I345" s="235" t="s">
        <x:v>1089</x:v>
      </x:c>
      <x:c r="J345" s="275">
        <x:v>13.402799999999999</x:v>
      </x:c>
      <x:c r="K345" s="275">
        <x:v>13.402799999999999</x:v>
      </x:c>
      <x:c r="L345" s="275">
        <x:v>13.402799999999999</x:v>
      </x:c>
      <x:c r="M345" s="275">
        <x:v>13.402799999999999</x:v>
      </x:c>
      <x:c r="N345" s="275">
        <x:v>13.402799999999999</x:v>
      </x:c>
      <x:c r="O345" s="275">
        <x:v>13.402799999999999</x:v>
      </x:c>
      <x:c r="P345" s="275">
        <x:v>13.402799999999999</x:v>
      </x:c>
      <x:c r="Q345" s="275">
        <x:v>13.402799999999999</x:v>
      </x:c>
      <x:c r="R345" s="275">
        <x:v>13.402799999999999</x:v>
      </x:c>
      <x:c r="S345" s="275">
        <x:v>13.402799999999999</x:v>
      </x:c>
      <x:c r="T345" s="275">
        <x:v>13.402799999999999</x:v>
      </x:c>
      <x:c r="U345" s="275">
        <x:v>13.402799999999999</x:v>
      </x:c>
      <x:c r="V345" s="134"/>
      <x:c r="W345" s="1046"/>
      <x:c r="X345" s="861">
        <x:v>13.560038554542841</x:v>
      </x:c>
      <x:c r="Y345" s="861">
        <x:f t="shared" si="186"/>
        <x:v>-0.15723855454284141</x:v>
      </x:c>
    </x:row>
    <x:row r="346" spans="1:25" s="48" customFormat="1" ht="13.5">
      <x:c r="A346" s="58"/>
      <x:c r="B346" s="75"/>
      <x:c r="C346" s="240" t="s">
        <x:v>332</x:v>
      </x:c>
      <x:c r="D346" s="240"/>
      <x:c r="E346" s="240"/>
      <x:c r="F346" s="240" t="s">
        <x:v>351</x:v>
      </x:c>
      <x:c r="G346" s="236" t="s">
        <x:v>352</x:v>
      </x:c>
      <x:c r="H346" s="235">
        <x:v>1</x:v>
      </x:c>
      <x:c r="I346" s="235" t="s">
        <x:v>1089</x:v>
      </x:c>
      <x:c r="J346" s="279">
        <x:v>8.8739000000000008</x:v>
      </x:c>
      <x:c r="K346" s="279">
        <x:v>8.8739000000000008</x:v>
      </x:c>
      <x:c r="L346" s="279">
        <x:v>8.8739000000000008</x:v>
      </x:c>
      <x:c r="M346" s="279">
        <x:v>8.8739000000000008</x:v>
      </x:c>
      <x:c r="N346" s="279">
        <x:v>8.8739000000000008</x:v>
      </x:c>
      <x:c r="O346" s="279">
        <x:v>8.8739000000000008</x:v>
      </x:c>
      <x:c r="P346" s="279">
        <x:v>8.8739000000000008</x:v>
      </x:c>
      <x:c r="Q346" s="279">
        <x:v>8.8739000000000008</x:v>
      </x:c>
      <x:c r="R346" s="279">
        <x:v>8.8739000000000008</x:v>
      </x:c>
      <x:c r="S346" s="279">
        <x:v>8.8739000000000008</x:v>
      </x:c>
      <x:c r="T346" s="279">
        <x:v>8.8739000000000008</x:v>
      </x:c>
      <x:c r="U346" s="279">
        <x:v>8.8739000000000008</x:v>
      </x:c>
      <x:c r="V346" s="134"/>
      <x:c r="W346" s="1046"/>
      <x:c r="X346" s="861">
        <x:v>8.8781384014681066</x:v>
      </x:c>
      <x:c r="Y346" s="861">
        <x:f t="shared" si="186"/>
        <x:v>-4.2384014681058346E-3</x:v>
      </x:c>
    </x:row>
    <x:row r="347" spans="1:25" s="48" customFormat="1" ht="13.5">
      <x:c r="A347" s="58"/>
      <x:c r="B347" s="66" t="s">
        <x:v>363</x:v>
      </x:c>
      <x:c r="C347" s="235" t="s">
        <x:v>332</x:v>
      </x:c>
      <x:c r="D347" s="235"/>
      <x:c r="E347" s="235"/>
      <x:c r="F347" s="235" t="s">
        <x:v>364</x:v>
      </x:c>
      <x:c r="G347" s="236" t="s">
        <x:v>1045</x:v>
      </x:c>
      <x:c r="H347" s="235">
        <x:v>1</x:v>
      </x:c>
      <x:c r="I347" s="235" t="s">
        <x:v>1089</x:v>
      </x:c>
      <x:c r="J347" s="277">
        <x:v>126.714</x:v>
      </x:c>
      <x:c r="K347" s="277">
        <x:v>126.714</x:v>
      </x:c>
      <x:c r="L347" s="277">
        <x:v>126.714</x:v>
      </x:c>
      <x:c r="M347" s="277">
        <x:v>126.714</x:v>
      </x:c>
      <x:c r="N347" s="277">
        <x:v>126.714</x:v>
      </x:c>
      <x:c r="O347" s="277">
        <x:v>126.714</x:v>
      </x:c>
      <x:c r="P347" s="277">
        <x:v>126.714</x:v>
      </x:c>
      <x:c r="Q347" s="277">
        <x:v>126.714</x:v>
      </x:c>
      <x:c r="R347" s="277">
        <x:v>126.714</x:v>
      </x:c>
      <x:c r="S347" s="277">
        <x:v>126.714</x:v>
      </x:c>
      <x:c r="T347" s="277">
        <x:v>126.714</x:v>
      </x:c>
      <x:c r="U347" s="277">
        <x:v>126.714</x:v>
      </x:c>
      <x:c r="V347" s="133"/>
      <x:c r="W347" s="1046" t="s">
        <x:v>365</x:v>
      </x:c>
      <x:c r="X347" s="861">
        <x:v>126.11000096574949</x:v>
      </x:c>
      <x:c r="Y347" s="861">
        <x:f t="shared" si="186"/>
        <x:v>0.60399903425050638</x:v>
      </x:c>
    </x:row>
    <x:row r="348" spans="1:25" s="48" customFormat="1" ht="13.5">
      <x:c r="A348" s="58"/>
      <x:c r="B348" s="70"/>
      <x:c r="C348" s="235" t="s">
        <x:v>332</x:v>
      </x:c>
      <x:c r="D348" s="235"/>
      <x:c r="E348" s="235"/>
      <x:c r="F348" s="235" t="s">
        <x:v>366</x:v>
      </x:c>
      <x:c r="G348" s="236" t="s">
        <x:v>1035</x:v>
      </x:c>
      <x:c r="H348" s="235">
        <x:v>1</x:v>
      </x:c>
      <x:c r="I348" s="235" t="s">
        <x:v>1089</x:v>
      </x:c>
      <x:c r="J348" s="277">
        <x:v>21.613099999999999</x:v>
      </x:c>
      <x:c r="K348" s="277">
        <x:v>21.613099999999999</x:v>
      </x:c>
      <x:c r="L348" s="277">
        <x:v>21.613099999999999</x:v>
      </x:c>
      <x:c r="M348" s="277">
        <x:v>21.613099999999999</x:v>
      </x:c>
      <x:c r="N348" s="277">
        <x:v>21.613099999999999</x:v>
      </x:c>
      <x:c r="O348" s="277">
        <x:v>21.613099999999999</x:v>
      </x:c>
      <x:c r="P348" s="277">
        <x:v>21.613099999999999</x:v>
      </x:c>
      <x:c r="Q348" s="277">
        <x:v>21.613099999999999</x:v>
      </x:c>
      <x:c r="R348" s="277">
        <x:v>21.613099999999999</x:v>
      </x:c>
      <x:c r="S348" s="277">
        <x:v>21.613099999999999</x:v>
      </x:c>
      <x:c r="T348" s="277">
        <x:v>21.613099999999999</x:v>
      </x:c>
      <x:c r="U348" s="277">
        <x:v>21.613099999999999</x:v>
      </x:c>
      <x:c r="V348" s="133"/>
      <x:c r="W348" s="1046"/>
      <x:c r="X348" s="861">
        <x:v>21.610011463026492</x:v>
      </x:c>
      <x:c r="Y348" s="861">
        <x:f t="shared" si="186"/>
        <x:v>3.0885369735074164E-3</x:v>
      </x:c>
    </x:row>
    <x:row r="349" spans="1:25" s="48" customFormat="1" ht="13.5">
      <x:c r="A349" s="58"/>
      <x:c r="B349" s="70"/>
      <x:c r="C349" s="240" t="s">
        <x:v>332</x:v>
      </x:c>
      <x:c r="D349" s="240"/>
      <x:c r="E349" s="240"/>
      <x:c r="F349" s="240" t="s">
        <x:v>351</x:v>
      </x:c>
      <x:c r="G349" s="241" t="s">
        <x:v>1036</x:v>
      </x:c>
      <x:c r="H349" s="240">
        <x:v>1</x:v>
      </x:c>
      <x:c r="I349" s="240" t="s">
        <x:v>1089</x:v>
      </x:c>
      <x:c r="J349" s="275">
        <x:v>13.3588</x:v>
      </x:c>
      <x:c r="K349" s="275">
        <x:v>13.3588</x:v>
      </x:c>
      <x:c r="L349" s="275">
        <x:v>13.3588</x:v>
      </x:c>
      <x:c r="M349" s="275">
        <x:v>13.3588</x:v>
      </x:c>
      <x:c r="N349" s="275">
        <x:v>13.3588</x:v>
      </x:c>
      <x:c r="O349" s="275">
        <x:v>13.3588</x:v>
      </x:c>
      <x:c r="P349" s="275">
        <x:v>13.3588</x:v>
      </x:c>
      <x:c r="Q349" s="275">
        <x:v>13.3588</x:v>
      </x:c>
      <x:c r="R349" s="275">
        <x:v>13.3588</x:v>
      </x:c>
      <x:c r="S349" s="275">
        <x:v>13.3588</x:v>
      </x:c>
      <x:c r="T349" s="275">
        <x:v>13.3588</x:v>
      </x:c>
      <x:c r="U349" s="275">
        <x:v>13.3588</x:v>
      </x:c>
      <x:c r="V349" s="136"/>
      <x:c r="W349" s="1046"/>
      <x:c r="X349" s="861">
        <x:v>13.581196746841499</x:v>
      </x:c>
      <x:c r="Y349" s="861">
        <x:f t="shared" si="186"/>
        <x:v>-0.22239674684149868</x:v>
      </x:c>
    </x:row>
    <x:row r="350" spans="1:25" s="48" customFormat="1" ht="13.5">
      <x:c r="A350" s="58"/>
      <x:c r="B350" s="70"/>
      <x:c r="C350" s="240" t="s">
        <x:v>332</x:v>
      </x:c>
      <x:c r="D350" s="240"/>
      <x:c r="E350" s="240"/>
      <x:c r="F350" s="240" t="s">
        <x:v>353</x:v>
      </x:c>
      <x:c r="G350" s="241" t="s">
        <x:v>1037</x:v>
      </x:c>
      <x:c r="H350" s="240">
        <x:v>3</x:v>
      </x:c>
      <x:c r="I350" s="240" t="s">
        <x:v>1089</x:v>
      </x:c>
      <x:c r="J350" s="275">
        <x:v>12.3751</x:v>
      </x:c>
      <x:c r="K350" s="275">
        <x:v>12.3751</x:v>
      </x:c>
      <x:c r="L350" s="275">
        <x:v>12.3751</x:v>
      </x:c>
      <x:c r="M350" s="275">
        <x:v>12.3751</x:v>
      </x:c>
      <x:c r="N350" s="275">
        <x:v>12.3751</x:v>
      </x:c>
      <x:c r="O350" s="275">
        <x:v>12.3751</x:v>
      </x:c>
      <x:c r="P350" s="275">
        <x:v>12.3751</x:v>
      </x:c>
      <x:c r="Q350" s="275">
        <x:v>12.3751</x:v>
      </x:c>
      <x:c r="R350" s="275">
        <x:v>12.3751</x:v>
      </x:c>
      <x:c r="S350" s="275">
        <x:v>12.3751</x:v>
      </x:c>
      <x:c r="T350" s="275">
        <x:v>12.3751</x:v>
      </x:c>
      <x:c r="U350" s="275">
        <x:v>12.3751</x:v>
      </x:c>
      <x:c r="V350" s="136"/>
      <x:c r="W350" s="1046"/>
      <x:c r="X350" s="861">
        <x:v>12.53500571266544</x:v>
      </x:c>
      <x:c r="Y350" s="861">
        <x:f t="shared" si="186"/>
        <x:v>-0.15990571266543974</x:v>
      </x:c>
    </x:row>
    <x:row r="351" spans="1:25" s="48" customFormat="1" ht="13.5">
      <x:c r="A351" s="58"/>
      <x:c r="B351" s="70"/>
      <x:c r="C351" s="240" t="s">
        <x:v>332</x:v>
      </x:c>
      <x:c r="D351" s="240"/>
      <x:c r="E351" s="240"/>
      <x:c r="F351" s="240" t="s">
        <x:v>354</x:v>
      </x:c>
      <x:c r="G351" s="241" t="s">
        <x:v>1038</x:v>
      </x:c>
      <x:c r="H351" s="240">
        <x:v>1</x:v>
      </x:c>
      <x:c r="I351" s="240" t="s">
        <x:v>1089</x:v>
      </x:c>
      <x:c r="J351" s="275">
        <x:v>15.070499999999999</x:v>
      </x:c>
      <x:c r="K351" s="275">
        <x:v>15.070499999999999</x:v>
      </x:c>
      <x:c r="L351" s="275">
        <x:v>15.070499999999999</x:v>
      </x:c>
      <x:c r="M351" s="275">
        <x:v>15.070499999999999</x:v>
      </x:c>
      <x:c r="N351" s="275">
        <x:v>15.070499999999999</x:v>
      </x:c>
      <x:c r="O351" s="275">
        <x:v>15.070499999999999</x:v>
      </x:c>
      <x:c r="P351" s="275">
        <x:v>15.070499999999999</x:v>
      </x:c>
      <x:c r="Q351" s="275">
        <x:v>15.070499999999999</x:v>
      </x:c>
      <x:c r="R351" s="275">
        <x:v>15.070499999999999</x:v>
      </x:c>
      <x:c r="S351" s="275">
        <x:v>15.070499999999999</x:v>
      </x:c>
      <x:c r="T351" s="275">
        <x:v>15.070499999999999</x:v>
      </x:c>
      <x:c r="U351" s="275">
        <x:v>15.070499999999999</x:v>
      </x:c>
      <x:c r="V351" s="134"/>
      <x:c r="W351" s="1046"/>
      <x:c r="X351" s="861">
        <x:v>15.3958814376525</x:v>
      </x:c>
      <x:c r="Y351" s="861">
        <x:f t="shared" si="186"/>
        <x:v>-0.32538143765250105</x:v>
      </x:c>
    </x:row>
    <x:row r="352" spans="1:25" s="48" customFormat="1" ht="13.5">
      <x:c r="A352" s="58"/>
      <x:c r="B352" s="70"/>
      <x:c r="C352" s="240" t="s">
        <x:v>332</x:v>
      </x:c>
      <x:c r="D352" s="240"/>
      <x:c r="E352" s="240"/>
      <x:c r="F352" s="240" t="s">
        <x:v>355</x:v>
      </x:c>
      <x:c r="G352" s="241" t="s">
        <x:v>1039</x:v>
      </x:c>
      <x:c r="H352" s="240">
        <x:v>1</x:v>
      </x:c>
      <x:c r="I352" s="240" t="s">
        <x:v>1089</x:v>
      </x:c>
      <x:c r="J352" s="275">
        <x:v>9.8233999999999995</x:v>
      </x:c>
      <x:c r="K352" s="275">
        <x:v>9.8233999999999995</x:v>
      </x:c>
      <x:c r="L352" s="275">
        <x:v>9.8233999999999995</x:v>
      </x:c>
      <x:c r="M352" s="275">
        <x:v>9.8233999999999995</x:v>
      </x:c>
      <x:c r="N352" s="275">
        <x:v>9.8233999999999995</x:v>
      </x:c>
      <x:c r="O352" s="275">
        <x:v>9.8233999999999995</x:v>
      </x:c>
      <x:c r="P352" s="275">
        <x:v>9.8233999999999995</x:v>
      </x:c>
      <x:c r="Q352" s="275">
        <x:v>9.8233999999999995</x:v>
      </x:c>
      <x:c r="R352" s="275">
        <x:v>9.8233999999999995</x:v>
      </x:c>
      <x:c r="S352" s="275">
        <x:v>9.8233999999999995</x:v>
      </x:c>
      <x:c r="T352" s="275">
        <x:v>9.8233999999999995</x:v>
      </x:c>
      <x:c r="U352" s="275">
        <x:v>9.8233999999999995</x:v>
      </x:c>
      <x:c r="V352" s="134"/>
      <x:c r="W352" s="1046"/>
      <x:c r="X352" s="861">
        <x:v>9.8286450914155967</x:v>
      </x:c>
      <x:c r="Y352" s="861">
        <x:f t="shared" si="186"/>
        <x:v>-5.2450914155972583E-3</x:v>
      </x:c>
    </x:row>
    <x:row r="353" spans="1:25" s="48" customFormat="1" ht="13.5">
      <x:c r="A353" s="58"/>
      <x:c r="B353" s="70"/>
      <x:c r="C353" s="240" t="s">
        <x:v>332</x:v>
      </x:c>
      <x:c r="D353" s="240"/>
      <x:c r="E353" s="240"/>
      <x:c r="F353" s="240" t="s">
        <x:v>356</x:v>
      </x:c>
      <x:c r="G353" s="241" t="s">
        <x:v>1040</x:v>
      </x:c>
      <x:c r="H353" s="240">
        <x:v>1</x:v>
      </x:c>
      <x:c r="I353" s="240" t="s">
        <x:v>1089</x:v>
      </x:c>
      <x:c r="J353" s="275">
        <x:v>13.860300000000001</x:v>
      </x:c>
      <x:c r="K353" s="275">
        <x:v>13.860300000000001</x:v>
      </x:c>
      <x:c r="L353" s="275">
        <x:v>13.860300000000001</x:v>
      </x:c>
      <x:c r="M353" s="275">
        <x:v>13.860300000000001</x:v>
      </x:c>
      <x:c r="N353" s="275">
        <x:v>13.860300000000001</x:v>
      </x:c>
      <x:c r="O353" s="275">
        <x:v>13.860300000000001</x:v>
      </x:c>
      <x:c r="P353" s="275">
        <x:v>13.860300000000001</x:v>
      </x:c>
      <x:c r="Q353" s="275">
        <x:v>13.860300000000001</x:v>
      </x:c>
      <x:c r="R353" s="275">
        <x:v>13.860300000000001</x:v>
      </x:c>
      <x:c r="S353" s="275">
        <x:v>13.860300000000001</x:v>
      </x:c>
      <x:c r="T353" s="275">
        <x:v>13.860300000000001</x:v>
      </x:c>
      <x:c r="U353" s="275">
        <x:v>13.860300000000001</x:v>
      </x:c>
      <x:c r="V353" s="134"/>
      <x:c r="W353" s="1046"/>
      <x:c r="X353" s="861">
        <x:v>14.042004770284132</x:v>
      </x:c>
      <x:c r="Y353" s="861">
        <x:f t="shared" si="186"/>
        <x:v>-0.18170477028413146</x:v>
      </x:c>
    </x:row>
    <x:row r="354" spans="1:25" s="48" customFormat="1" ht="13.5">
      <x:c r="A354" s="58"/>
      <x:c r="B354" s="70"/>
      <x:c r="C354" s="240" t="s">
        <x:v>332</x:v>
      </x:c>
      <x:c r="D354" s="235"/>
      <x:c r="E354" s="235"/>
      <x:c r="F354" s="235" t="s">
        <x:v>357</x:v>
      </x:c>
      <x:c r="G354" s="236" t="s">
        <x:v>1041</x:v>
      </x:c>
      <x:c r="H354" s="235">
        <x:v>1</x:v>
      </x:c>
      <x:c r="I354" s="235" t="s">
        <x:v>1089</x:v>
      </x:c>
      <x:c r="J354" s="275">
        <x:v>7.0850999999999997</x:v>
      </x:c>
      <x:c r="K354" s="275">
        <x:v>7.0850999999999997</x:v>
      </x:c>
      <x:c r="L354" s="275">
        <x:v>7.0850999999999997</x:v>
      </x:c>
      <x:c r="M354" s="275">
        <x:v>7.0850999999999997</x:v>
      </x:c>
      <x:c r="N354" s="275">
        <x:v>7.0850999999999997</x:v>
      </x:c>
      <x:c r="O354" s="275">
        <x:v>7.0850999999999997</x:v>
      </x:c>
      <x:c r="P354" s="275">
        <x:v>7.0850999999999997</x:v>
      </x:c>
      <x:c r="Q354" s="275">
        <x:v>7.0850999999999997</x:v>
      </x:c>
      <x:c r="R354" s="275">
        <x:v>7.0850999999999997</x:v>
      </x:c>
      <x:c r="S354" s="275">
        <x:v>7.0850999999999997</x:v>
      </x:c>
      <x:c r="T354" s="275">
        <x:v>7.0850999999999997</x:v>
      </x:c>
      <x:c r="U354" s="275">
        <x:v>7.0850999999999997</x:v>
      </x:c>
      <x:c r="V354" s="134"/>
      <x:c r="W354" s="1046"/>
      <x:c r="X354" s="861">
        <x:v>7.1102155771867341</x:v>
      </x:c>
      <x:c r="Y354" s="861">
        <x:f t="shared" si="186"/>
        <x:v>-2.5115577186734406E-2</x:v>
      </x:c>
    </x:row>
    <x:row r="355" spans="1:25" s="48" customFormat="1" ht="13.5">
      <x:c r="A355" s="58"/>
      <x:c r="B355" s="70"/>
      <x:c r="C355" s="240" t="s">
        <x:v>332</x:v>
      </x:c>
      <x:c r="D355" s="61"/>
      <x:c r="E355" s="71"/>
      <x:c r="F355" s="72" t="s">
        <x:v>358</x:v>
      </x:c>
      <x:c r="G355" s="62" t="s">
        <x:v>359</x:v>
      </x:c>
      <x:c r="H355" s="73">
        <x:v>1</x:v>
      </x:c>
      <x:c r="I355" s="240" t="s">
        <x:v>1089</x:v>
      </x:c>
      <x:c r="J355" s="275">
        <x:v>13.263</x:v>
      </x:c>
      <x:c r="K355" s="275">
        <x:v>13.263</x:v>
      </x:c>
      <x:c r="L355" s="275">
        <x:v>13.263</x:v>
      </x:c>
      <x:c r="M355" s="275">
        <x:v>13.263</x:v>
      </x:c>
      <x:c r="N355" s="275">
        <x:v>13.263</x:v>
      </x:c>
      <x:c r="O355" s="275">
        <x:v>13.263</x:v>
      </x:c>
      <x:c r="P355" s="275">
        <x:v>13.263</x:v>
      </x:c>
      <x:c r="Q355" s="275">
        <x:v>13.263</x:v>
      </x:c>
      <x:c r="R355" s="275">
        <x:v>13.263</x:v>
      </x:c>
      <x:c r="S355" s="275">
        <x:v>13.263</x:v>
      </x:c>
      <x:c r="T355" s="275">
        <x:v>13.263</x:v>
      </x:c>
      <x:c r="U355" s="275">
        <x:v>13.263</x:v>
      </x:c>
      <x:c r="V355" s="137"/>
      <x:c r="W355" s="1046"/>
      <x:c r="X355" s="861">
        <x:v>13.337406721976457</x:v>
      </x:c>
      <x:c r="Y355" s="861">
        <x:f t="shared" si="186"/>
        <x:v>-7.4406721976457035E-2</x:v>
      </x:c>
    </x:row>
    <x:row r="356" spans="1:25" s="48" customFormat="1" ht="13.5">
      <x:c r="A356" s="58"/>
      <x:c r="B356" s="70"/>
      <x:c r="C356" s="240" t="s">
        <x:v>332</x:v>
      </x:c>
      <x:c r="D356" s="240"/>
      <x:c r="E356" s="244"/>
      <x:c r="F356" s="245" t="s">
        <x:v>360</x:v>
      </x:c>
      <x:c r="G356" s="241" t="s">
        <x:v>1042</x:v>
      </x:c>
      <x:c r="H356" s="246">
        <x:v>1</x:v>
      </x:c>
      <x:c r="I356" s="240" t="s">
        <x:v>1089</x:v>
      </x:c>
      <x:c r="J356" s="275">
        <x:v>13.826599999999999</x:v>
      </x:c>
      <x:c r="K356" s="275">
        <x:v>13.826599999999999</x:v>
      </x:c>
      <x:c r="L356" s="275">
        <x:v>13.826599999999999</x:v>
      </x:c>
      <x:c r="M356" s="275">
        <x:v>13.826599999999999</x:v>
      </x:c>
      <x:c r="N356" s="275">
        <x:v>13.826599999999999</x:v>
      </x:c>
      <x:c r="O356" s="275">
        <x:v>13.826599999999999</x:v>
      </x:c>
      <x:c r="P356" s="275">
        <x:v>13.826599999999999</x:v>
      </x:c>
      <x:c r="Q356" s="275">
        <x:v>13.826599999999999</x:v>
      </x:c>
      <x:c r="R356" s="275">
        <x:v>13.826599999999999</x:v>
      </x:c>
      <x:c r="S356" s="275">
        <x:v>13.826599999999999</x:v>
      </x:c>
      <x:c r="T356" s="275">
        <x:v>13.826599999999999</x:v>
      </x:c>
      <x:c r="U356" s="275">
        <x:v>13.826599999999999</x:v>
      </x:c>
      <x:c r="V356" s="136"/>
      <x:c r="W356" s="1046"/>
      <x:c r="X356" s="861">
        <x:v>14.062775110655201</x:v>
      </x:c>
      <x:c r="Y356" s="861">
        <x:f t="shared" si="186"/>
        <x:v>-0.23617511065520169</x:v>
      </x:c>
    </x:row>
    <x:row r="357" spans="1:25" s="48" customFormat="1" ht="13.5">
      <x:c r="A357" s="58"/>
      <x:c r="B357" s="70"/>
      <x:c r="C357" s="240" t="s">
        <x:v>332</x:v>
      </x:c>
      <x:c r="D357" s="240"/>
      <x:c r="E357" s="240"/>
      <x:c r="F357" s="240" t="s">
        <x:v>361</x:v>
      </x:c>
      <x:c r="G357" s="241" t="s">
        <x:v>1043</x:v>
      </x:c>
      <x:c r="H357" s="240">
        <x:v>1</x:v>
      </x:c>
      <x:c r="I357" s="240" t="s">
        <x:v>1089</x:v>
      </x:c>
      <x:c r="J357" s="275">
        <x:v>12.636100000000001</x:v>
      </x:c>
      <x:c r="K357" s="275">
        <x:v>12.636100000000001</x:v>
      </x:c>
      <x:c r="L357" s="275">
        <x:v>12.636100000000001</x:v>
      </x:c>
      <x:c r="M357" s="275">
        <x:v>12.636100000000001</x:v>
      </x:c>
      <x:c r="N357" s="275">
        <x:v>12.636100000000001</x:v>
      </x:c>
      <x:c r="O357" s="275">
        <x:v>12.636100000000001</x:v>
      </x:c>
      <x:c r="P357" s="275">
        <x:v>12.636100000000001</x:v>
      </x:c>
      <x:c r="Q357" s="275">
        <x:v>12.636100000000001</x:v>
      </x:c>
      <x:c r="R357" s="275">
        <x:v>12.636100000000001</x:v>
      </x:c>
      <x:c r="S357" s="275">
        <x:v>12.636100000000001</x:v>
      </x:c>
      <x:c r="T357" s="275">
        <x:v>12.636100000000001</x:v>
      </x:c>
      <x:c r="U357" s="275">
        <x:v>12.636100000000001</x:v>
      </x:c>
      <x:c r="V357" s="136"/>
      <x:c r="W357" s="1046"/>
      <x:c r="X357" s="861">
        <x:v>12.779964320137983</x:v>
      </x:c>
      <x:c r="Y357" s="861">
        <x:f t="shared" si="186"/>
        <x:v>-0.14386432013798256</x:v>
      </x:c>
    </x:row>
    <x:row r="358" spans="1:25" s="48" customFormat="1" ht="13.5">
      <x:c r="A358" s="58"/>
      <x:c r="B358" s="70"/>
      <x:c r="C358" s="240" t="s">
        <x:v>332</x:v>
      </x:c>
      <x:c r="D358" s="240"/>
      <x:c r="E358" s="240"/>
      <x:c r="F358" s="240" t="s">
        <x:v>362</x:v>
      </x:c>
      <x:c r="G358" s="241" t="s">
        <x:v>1044</x:v>
      </x:c>
      <x:c r="H358" s="235">
        <x:v>1</x:v>
      </x:c>
      <x:c r="I358" s="240" t="s">
        <x:v>1089</x:v>
      </x:c>
      <x:c r="J358" s="275">
        <x:v>13.402799999999999</x:v>
      </x:c>
      <x:c r="K358" s="275">
        <x:v>13.402799999999999</x:v>
      </x:c>
      <x:c r="L358" s="275">
        <x:v>13.402799999999999</x:v>
      </x:c>
      <x:c r="M358" s="275">
        <x:v>13.402799999999999</x:v>
      </x:c>
      <x:c r="N358" s="275">
        <x:v>13.402799999999999</x:v>
      </x:c>
      <x:c r="O358" s="275">
        <x:v>13.402799999999999</x:v>
      </x:c>
      <x:c r="P358" s="275">
        <x:v>13.402799999999999</x:v>
      </x:c>
      <x:c r="Q358" s="275">
        <x:v>13.402799999999999</x:v>
      </x:c>
      <x:c r="R358" s="275">
        <x:v>13.402799999999999</x:v>
      </x:c>
      <x:c r="S358" s="275">
        <x:v>13.402799999999999</x:v>
      </x:c>
      <x:c r="T358" s="275">
        <x:v>13.402799999999999</x:v>
      </x:c>
      <x:c r="U358" s="275">
        <x:v>13.402799999999999</x:v>
      </x:c>
      <x:c r="V358" s="134"/>
      <x:c r="W358" s="1046"/>
      <x:c r="X358" s="861">
        <x:v>13.560038554542841</x:v>
      </x:c>
      <x:c r="Y358" s="861">
        <x:f t="shared" si="186"/>
        <x:v>-0.15723855454284141</x:v>
      </x:c>
    </x:row>
    <x:row r="359" spans="1:25" s="48" customFormat="1" ht="13.5">
      <x:c r="A359" s="76"/>
      <x:c r="B359" s="75"/>
      <x:c r="C359" s="1143" t="s">
        <x:v>332</x:v>
      </x:c>
      <x:c r="D359" s="240"/>
      <x:c r="E359" s="240"/>
      <x:c r="F359" s="240" t="s">
        <x:v>351</x:v>
      </x:c>
      <x:c r="G359" s="241" t="s">
        <x:v>352</x:v>
      </x:c>
      <x:c r="H359" s="240">
        <x:v>1</x:v>
      </x:c>
      <x:c r="I359" s="240" t="s">
        <x:v>1089</x:v>
      </x:c>
      <x:c r="J359" s="279">
        <x:v>8.8739000000000008</x:v>
      </x:c>
      <x:c r="K359" s="279">
        <x:v>8.8739000000000008</x:v>
      </x:c>
      <x:c r="L359" s="279">
        <x:v>8.8739000000000008</x:v>
      </x:c>
      <x:c r="M359" s="279">
        <x:v>8.8739000000000008</x:v>
      </x:c>
      <x:c r="N359" s="279">
        <x:v>8.8739000000000008</x:v>
      </x:c>
      <x:c r="O359" s="279">
        <x:v>8.8739000000000008</x:v>
      </x:c>
      <x:c r="P359" s="279">
        <x:v>8.8739000000000008</x:v>
      </x:c>
      <x:c r="Q359" s="279">
        <x:v>8.8739000000000008</x:v>
      </x:c>
      <x:c r="R359" s="279">
        <x:v>8.8739000000000008</x:v>
      </x:c>
      <x:c r="S359" s="279">
        <x:v>8.8739000000000008</x:v>
      </x:c>
      <x:c r="T359" s="279">
        <x:v>8.8739000000000008</x:v>
      </x:c>
      <x:c r="U359" s="279">
        <x:v>8.8739000000000008</x:v>
      </x:c>
      <x:c r="V359" s="138"/>
      <x:c r="W359" s="1052"/>
      <x:c r="X359" s="861">
        <x:v>8.8781384014681066</x:v>
      </x:c>
      <x:c r="Y359" s="861">
        <x:f t="shared" si="186"/>
        <x:v>-4.2384014681058346E-3</x:v>
      </x:c>
    </x:row>
    <x:row r="360" spans="1:25">
      <x:c r="A360" s="76"/>
      <x:c r="B360" s="70" t="s">
        <x:v>367</x:v>
      </x:c>
      <x:c r="C360" s="67" t="s">
        <x:v>332</x:v>
      </x:c>
      <x:c r="D360" s="235"/>
      <x:c r="E360" s="235"/>
      <x:c r="F360" s="235" t="s">
        <x:v>368</x:v>
      </x:c>
      <x:c r="G360" s="68" t="s">
        <x:v>369</x:v>
      </x:c>
      <x:c r="H360" s="67">
        <x:v>2</x:v>
      </x:c>
      <x:c r="I360" s="235" t="s">
        <x:v>1089</x:v>
      </x:c>
      <x:c r="J360" s="275">
        <x:v>8.1053999999999995</x:v>
      </x:c>
      <x:c r="K360" s="274">
        <x:v>8.1053999999999995</x:v>
      </x:c>
      <x:c r="L360" s="274">
        <x:v>8.1053999999999995</x:v>
      </x:c>
      <x:c r="M360" s="274">
        <x:v>8.1053999999999995</x:v>
      </x:c>
      <x:c r="N360" s="274">
        <x:v>8.1053999999999995</x:v>
      </x:c>
      <x:c r="O360" s="274">
        <x:v>8.1053999999999995</x:v>
      </x:c>
      <x:c r="P360" s="274">
        <x:v>8.1053999999999995</x:v>
      </x:c>
      <x:c r="Q360" s="274">
        <x:v>8.1053999999999995</x:v>
      </x:c>
      <x:c r="R360" s="274">
        <x:v>8.1053999999999995</x:v>
      </x:c>
      <x:c r="S360" s="274">
        <x:v>8.1053999999999995</x:v>
      </x:c>
      <x:c r="T360" s="274">
        <x:v>8.1053999999999995</x:v>
      </x:c>
      <x:c r="U360" s="274">
        <x:v>8.1053999999999995</x:v>
      </x:c>
      <x:c r="V360" s="138"/>
      <x:c r="W360" s="1052"/>
      <x:c r="X360" s="861">
        <x:v>8.030502275384988</x:v>
      </x:c>
      <x:c r="Y360" s="861">
        <x:f t="shared" si="186"/>
        <x:v>7.4897724615011541E-2</x:v>
      </x:c>
    </x:row>
    <x:row r="361" spans="1:25">
      <x:c r="A361" s="76"/>
      <x:c r="B361" s="70"/>
      <x:c r="C361" s="1165" t="s">
        <x:v>332</x:v>
      </x:c>
      <x:c r="D361" s="1143"/>
      <x:c r="E361" s="1143"/>
      <x:c r="F361" s="1143" t="str">
        <x:f t="shared" ref="F361:I362" si="187">F360</x:f>
        <x:v>BUS BAR ASY - ARRAY 4 POS TO ARRAY 5 NEG</x:v>
      </x:c>
      <x:c r="G361" s="1136" t="s">
        <x:v>369</x:v>
      </x:c>
      <x:c r="H361" s="1135">
        <x:v>1</x:v>
      </x:c>
      <x:c r="I361" s="1143" t="str">
        <x:f t="shared" si="187"/>
        <x:v>터키 현지 외주</x:v>
      </x:c>
      <x:c r="J361" s="1177">
        <x:f>J360*$W120</x:f>
        <x:v>8.1053999999999995</x:v>
      </x:c>
      <x:c r="K361" s="1178">
        <x:f t="shared" ref="K361:U361" si="188">K360*$W120</x:f>
        <x:v>8.1053999999999995</x:v>
      </x:c>
      <x:c r="L361" s="1178">
        <x:f t="shared" si="188"/>
        <x:v>8.1053999999999995</x:v>
      </x:c>
      <x:c r="M361" s="1178">
        <x:f t="shared" si="188"/>
        <x:v>8.1053999999999995</x:v>
      </x:c>
      <x:c r="N361" s="1178">
        <x:f t="shared" si="188"/>
        <x:v>8.1053999999999995</x:v>
      </x:c>
      <x:c r="O361" s="1178">
        <x:f t="shared" si="188"/>
        <x:v>8.1053999999999995</x:v>
      </x:c>
      <x:c r="P361" s="1178">
        <x:f t="shared" si="188"/>
        <x:v>8.1053999999999995</x:v>
      </x:c>
      <x:c r="Q361" s="1178">
        <x:f t="shared" si="188"/>
        <x:v>8.1053999999999995</x:v>
      </x:c>
      <x:c r="R361" s="1178">
        <x:f t="shared" si="188"/>
        <x:v>8.1053999999999995</x:v>
      </x:c>
      <x:c r="S361" s="1178">
        <x:f t="shared" si="188"/>
        <x:v>8.1053999999999995</x:v>
      </x:c>
      <x:c r="T361" s="1178">
        <x:f t="shared" si="188"/>
        <x:v>8.1053999999999995</x:v>
      </x:c>
      <x:c r="U361" s="1178">
        <x:f t="shared" si="188"/>
        <x:v>8.1053999999999995</x:v>
      </x:c>
      <x:c r="V361" s="138"/>
      <x:c r="W361" s="1052"/>
      <x:c r="X361" s="1163"/>
      <x:c r="Y361" s="1163"/>
    </x:row>
    <x:row r="362" spans="1:25">
      <x:c r="A362" s="76"/>
      <x:c r="B362" s="70"/>
      <x:c r="C362" s="1165" t="s">
        <x:v>332</x:v>
      </x:c>
      <x:c r="D362" s="1143"/>
      <x:c r="E362" s="1143"/>
      <x:c r="F362" s="1143" t="str">
        <x:f t="shared" si="187"/>
        <x:v>BUS BAR ASY - ARRAY 4 POS TO ARRAY 5 NEG</x:v>
      </x:c>
      <x:c r="G362" s="1136" t="s">
        <x:v>1517</x:v>
      </x:c>
      <x:c r="H362" s="1135">
        <x:v>1</x:v>
      </x:c>
      <x:c r="I362" s="1143" t="str">
        <x:f t="shared" si="187"/>
        <x:v>터키 현지 외주</x:v>
      </x:c>
      <x:c r="J362" s="1177">
        <x:f>J361*$W121</x:f>
        <x:v>10.863337683523653</x:v>
      </x:c>
      <x:c r="K362" s="1178">
        <x:f t="shared" ref="K362:U362" si="189">K361*$W121</x:f>
        <x:v>10.863337683523653</x:v>
      </x:c>
      <x:c r="L362" s="1178">
        <x:f t="shared" si="189"/>
        <x:v>10.863337683523653</x:v>
      </x:c>
      <x:c r="M362" s="1178">
        <x:f t="shared" si="189"/>
        <x:v>10.863337683523653</x:v>
      </x:c>
      <x:c r="N362" s="1178">
        <x:f t="shared" si="189"/>
        <x:v>10.863337683523653</x:v>
      </x:c>
      <x:c r="O362" s="1178">
        <x:f t="shared" si="189"/>
        <x:v>10.863337683523653</x:v>
      </x:c>
      <x:c r="P362" s="1178">
        <x:f t="shared" si="189"/>
        <x:v>10.863337683523653</x:v>
      </x:c>
      <x:c r="Q362" s="1178">
        <x:f t="shared" si="189"/>
        <x:v>10.863337683523653</x:v>
      </x:c>
      <x:c r="R362" s="1178">
        <x:f t="shared" si="189"/>
        <x:v>10.863337683523653</x:v>
      </x:c>
      <x:c r="S362" s="1178">
        <x:f t="shared" si="189"/>
        <x:v>10.863337683523653</x:v>
      </x:c>
      <x:c r="T362" s="1178">
        <x:f t="shared" si="189"/>
        <x:v>10.863337683523653</x:v>
      </x:c>
      <x:c r="U362" s="1178">
        <x:f t="shared" si="189"/>
        <x:v>10.863337683523653</x:v>
      </x:c>
      <x:c r="V362" s="138"/>
      <x:c r="W362" s="1052"/>
      <x:c r="X362" s="1163"/>
      <x:c r="Y362" s="1163"/>
    </x:row>
    <x:row r="363" spans="1:25">
      <x:c r="A363" s="76"/>
      <x:c r="B363" s="70"/>
      <x:c r="C363" s="235" t="s">
        <x:v>332</x:v>
      </x:c>
      <x:c r="D363" s="235"/>
      <x:c r="E363" s="235"/>
      <x:c r="F363" s="235" t="s">
        <x:v>370</x:v>
      </x:c>
      <x:c r="G363" s="236" t="s">
        <x:v>371</x:v>
      </x:c>
      <x:c r="H363" s="235">
        <x:v>2</x:v>
      </x:c>
      <x:c r="I363" s="235" t="s">
        <x:v>1089</x:v>
      </x:c>
      <x:c r="J363" s="278">
        <x:v>8.8272999999999993</x:v>
      </x:c>
      <x:c r="K363" s="102">
        <x:v>8.8272999999999993</x:v>
      </x:c>
      <x:c r="L363" s="102">
        <x:v>8.8272999999999993</x:v>
      </x:c>
      <x:c r="M363" s="102">
        <x:v>8.8272999999999993</x:v>
      </x:c>
      <x:c r="N363" s="102">
        <x:v>8.8272999999999993</x:v>
      </x:c>
      <x:c r="O363" s="102">
        <x:v>8.8272999999999993</x:v>
      </x:c>
      <x:c r="P363" s="102">
        <x:v>8.8272999999999993</x:v>
      </x:c>
      <x:c r="Q363" s="102">
        <x:v>8.8272999999999993</x:v>
      </x:c>
      <x:c r="R363" s="102">
        <x:v>8.8272999999999993</x:v>
      </x:c>
      <x:c r="S363" s="102">
        <x:v>8.8272999999999993</x:v>
      </x:c>
      <x:c r="T363" s="102">
        <x:v>8.8272999999999993</x:v>
      </x:c>
      <x:c r="U363" s="102">
        <x:v>8.8272999999999993</x:v>
      </x:c>
      <x:c r="V363" s="134"/>
      <x:c r="W363" s="1046"/>
      <x:c r="X363" s="861">
        <x:v>8.7568782844245998</x:v>
      </x:c>
      <x:c r="Y363" s="861">
        <x:f t="shared" si="186"/>
        <x:v>7.0421715575399446E-2</x:v>
      </x:c>
    </x:row>
    <x:row r="364" spans="1:25">
      <x:c r="A364" s="76"/>
      <x:c r="B364" s="70"/>
      <x:c r="C364" s="1165" t="s">
        <x:v>332</x:v>
      </x:c>
      <x:c r="D364" s="1143"/>
      <x:c r="E364" s="1143"/>
      <x:c r="F364" s="1143" t="str">
        <x:f t="shared" ref="F364:I364" si="190">F363</x:f>
        <x:v>BUS BAR ASY – COMMON BUSBAR ARRAY 3-2, 2-1</x:v>
      </x:c>
      <x:c r="G364" s="1144" t="str">
        <x:f t="shared" si="190"/>
        <x:v>S2X8-14A033-EC</x:v>
      </x:c>
      <x:c r="H364" s="1143">
        <x:f t="shared" si="190"/>
        <x:v>2</x:v>
      </x:c>
      <x:c r="I364" s="1143" t="str">
        <x:f t="shared" si="190"/>
        <x:v>터키 현지 외주</x:v>
      </x:c>
      <x:c r="J364" s="1177">
        <x:f>J363*$W123</x:f>
        <x:v>12.181653697243837</x:v>
      </x:c>
      <x:c r="K364" s="1179">
        <x:f t="shared" ref="K364:U364" si="191">K363*$W123</x:f>
        <x:v>12.181653697243837</x:v>
      </x:c>
      <x:c r="L364" s="1179">
        <x:f t="shared" si="191"/>
        <x:v>12.181653697243837</x:v>
      </x:c>
      <x:c r="M364" s="1179">
        <x:f t="shared" si="191"/>
        <x:v>12.181653697243837</x:v>
      </x:c>
      <x:c r="N364" s="1179">
        <x:f t="shared" si="191"/>
        <x:v>12.181653697243837</x:v>
      </x:c>
      <x:c r="O364" s="1179">
        <x:f t="shared" si="191"/>
        <x:v>12.181653697243837</x:v>
      </x:c>
      <x:c r="P364" s="1179">
        <x:f t="shared" si="191"/>
        <x:v>12.181653697243837</x:v>
      </x:c>
      <x:c r="Q364" s="1179">
        <x:f t="shared" si="191"/>
        <x:v>12.181653697243837</x:v>
      </x:c>
      <x:c r="R364" s="1179">
        <x:f t="shared" si="191"/>
        <x:v>12.181653697243837</x:v>
      </x:c>
      <x:c r="S364" s="1179">
        <x:f t="shared" si="191"/>
        <x:v>12.181653697243837</x:v>
      </x:c>
      <x:c r="T364" s="1179">
        <x:f t="shared" si="191"/>
        <x:v>12.181653697243837</x:v>
      </x:c>
      <x:c r="U364" s="1179">
        <x:f t="shared" si="191"/>
        <x:v>12.181653697243837</x:v>
      </x:c>
      <x:c r="V364" s="1164"/>
      <x:c r="W364" s="1046"/>
      <x:c r="X364" s="1163"/>
      <x:c r="Y364" s="1163"/>
    </x:row>
    <x:row r="365" spans="1:25">
      <x:c r="A365" s="76"/>
      <x:c r="B365" s="70"/>
      <x:c r="C365" s="1143" t="s">
        <x:v>332</x:v>
      </x:c>
      <x:c r="D365" s="1143"/>
      <x:c r="E365" s="1153"/>
      <x:c r="F365" s="1154" t="s">
        <x:v>372</x:v>
      </x:c>
      <x:c r="G365" s="1144" t="s">
        <x:v>373</x:v>
      </x:c>
      <x:c r="H365" s="1155">
        <x:v>1</x:v>
      </x:c>
      <x:c r="I365" s="1143" t="s">
        <x:v>1089</x:v>
      </x:c>
      <x:c r="J365" s="1159">
        <x:v>8.0366</x:v>
      </x:c>
      <x:c r="K365" s="1160">
        <x:v>8.0366</x:v>
      </x:c>
      <x:c r="L365" s="1160">
        <x:v>8.0366</x:v>
      </x:c>
      <x:c r="M365" s="1160">
        <x:v>8.0366</x:v>
      </x:c>
      <x:c r="N365" s="1160">
        <x:v>8.0366</x:v>
      </x:c>
      <x:c r="O365" s="1160">
        <x:v>8.0366</x:v>
      </x:c>
      <x:c r="P365" s="1160">
        <x:v>8.0366</x:v>
      </x:c>
      <x:c r="Q365" s="1160">
        <x:v>8.0366</x:v>
      </x:c>
      <x:c r="R365" s="1160">
        <x:v>8.0366</x:v>
      </x:c>
      <x:c r="S365" s="1160">
        <x:v>8.0366</x:v>
      </x:c>
      <x:c r="T365" s="1160">
        <x:v>8.0366</x:v>
      </x:c>
      <x:c r="U365" s="1160">
        <x:v>8.0366</x:v>
      </x:c>
      <x:c r="V365" s="1164"/>
      <x:c r="W365" s="1046"/>
      <x:c r="X365" s="861">
        <x:v>7.9970663313727393</x:v>
      </x:c>
      <x:c r="Y365" s="861">
        <x:f t="shared" si="186"/>
        <x:v>3.953366862726071E-2</x:v>
      </x:c>
    </x:row>
    <x:row r="366" spans="1:25">
      <x:c r="A366" s="76"/>
      <x:c r="B366" s="70"/>
      <x:c r="C366" s="1165" t="s">
        <x:v>332</x:v>
      </x:c>
      <x:c r="D366" s="61"/>
      <x:c r="E366" s="71"/>
      <x:c r="F366" s="72" t="str">
        <x:f t="shared" ref="F366:I366" si="192">F365</x:f>
        <x:v>BUS BAR ASY – POS BEC TO ARRAY 6 POS </x:v>
      </x:c>
      <x:c r="G366" s="62" t="str">
        <x:f t="shared" si="192"/>
        <x:v>S2X8-14A033-AC</x:v>
      </x:c>
      <x:c r="H366" s="73">
        <x:f t="shared" si="192"/>
        <x:v>1</x:v>
      </x:c>
      <x:c r="I366" s="61" t="str">
        <x:f t="shared" si="192"/>
        <x:v>터키 현지 외주</x:v>
      </x:c>
      <x:c r="J366" s="1177">
        <x:f>J365*$W125</x:f>
        <x:v>11.331755102040816</x:v>
      </x:c>
      <x:c r="K366" s="1178">
        <x:f t="shared" ref="K366:U366" si="193">K365*$W125</x:f>
        <x:v>11.331755102040816</x:v>
      </x:c>
      <x:c r="L366" s="1178">
        <x:f t="shared" si="193"/>
        <x:v>11.331755102040816</x:v>
      </x:c>
      <x:c r="M366" s="1178">
        <x:f t="shared" si="193"/>
        <x:v>11.331755102040816</x:v>
      </x:c>
      <x:c r="N366" s="1178">
        <x:f t="shared" si="193"/>
        <x:v>11.331755102040816</x:v>
      </x:c>
      <x:c r="O366" s="1178">
        <x:f t="shared" si="193"/>
        <x:v>11.331755102040816</x:v>
      </x:c>
      <x:c r="P366" s="1178">
        <x:f t="shared" si="193"/>
        <x:v>11.331755102040816</x:v>
      </x:c>
      <x:c r="Q366" s="1178">
        <x:f t="shared" si="193"/>
        <x:v>11.331755102040816</x:v>
      </x:c>
      <x:c r="R366" s="1178">
        <x:f t="shared" si="193"/>
        <x:v>11.331755102040816</x:v>
      </x:c>
      <x:c r="S366" s="1178">
        <x:f t="shared" si="193"/>
        <x:v>11.331755102040816</x:v>
      </x:c>
      <x:c r="T366" s="1178">
        <x:f t="shared" si="193"/>
        <x:v>11.331755102040816</x:v>
      </x:c>
      <x:c r="U366" s="1178">
        <x:f t="shared" si="193"/>
        <x:v>11.331755102040816</x:v>
      </x:c>
      <x:c r="V366" s="137"/>
      <x:c r="W366" s="1149"/>
      <x:c r="X366" s="1163"/>
      <x:c r="Y366" s="1163"/>
    </x:row>
    <x:row r="367" spans="1:25">
      <x:c r="A367" s="76"/>
      <x:c r="B367" s="70"/>
      <x:c r="C367" s="240" t="s">
        <x:v>332</x:v>
      </x:c>
      <x:c r="D367" s="240"/>
      <x:c r="E367" s="244"/>
      <x:c r="F367" s="245" t="s">
        <x:v>374</x:v>
      </x:c>
      <x:c r="G367" s="241" t="s">
        <x:v>375</x:v>
      </x:c>
      <x:c r="H367" s="246">
        <x:v>1</x:v>
      </x:c>
      <x:c r="I367" s="240" t="s">
        <x:v>1089</x:v>
      </x:c>
      <x:c r="J367" s="1180">
        <x:v>5.3625999999999996</x:v>
      </x:c>
      <x:c r="K367" s="1181">
        <x:v>5.3625999999999996</x:v>
      </x:c>
      <x:c r="L367" s="1181">
        <x:v>5.3625999999999996</x:v>
      </x:c>
      <x:c r="M367" s="1181">
        <x:v>5.3625999999999996</x:v>
      </x:c>
      <x:c r="N367" s="1181">
        <x:v>5.3625999999999996</x:v>
      </x:c>
      <x:c r="O367" s="1181">
        <x:v>5.3625999999999996</x:v>
      </x:c>
      <x:c r="P367" s="1181">
        <x:v>5.3625999999999996</x:v>
      </x:c>
      <x:c r="Q367" s="1181">
        <x:v>5.3625999999999996</x:v>
      </x:c>
      <x:c r="R367" s="1181">
        <x:v>5.3625999999999996</x:v>
      </x:c>
      <x:c r="S367" s="1181">
        <x:v>5.3625999999999996</x:v>
      </x:c>
      <x:c r="T367" s="1181">
        <x:v>5.3625999999999996</x:v>
      </x:c>
      <x:c r="U367" s="1181">
        <x:v>5.3625999999999996</x:v>
      </x:c>
      <x:c r="V367" s="136"/>
      <x:c r="W367" s="1053"/>
      <x:c r="X367" s="861">
        <x:v>5.3679571810707376</x:v>
      </x:c>
      <x:c r="Y367" s="861">
        <x:f t="shared" si="186"/>
        <x:v>-5.3571810707380152E-3</x:v>
      </x:c>
    </x:row>
    <x:row r="368" spans="1:25" s="48" customFormat="1" ht="13.5">
      <x:c r="A368" s="76"/>
      <x:c r="B368" s="70"/>
      <x:c r="C368" s="240" t="s">
        <x:v>332</x:v>
      </x:c>
      <x:c r="D368" s="235"/>
      <x:c r="E368" s="244"/>
      <x:c r="F368" s="245" t="s">
        <x:v>376</x:v>
      </x:c>
      <x:c r="G368" s="241" t="s">
        <x:v>377</x:v>
      </x:c>
      <x:c r="H368" s="246">
        <x:v>1</x:v>
      </x:c>
      <x:c r="I368" s="240" t="s">
        <x:v>1089</x:v>
      </x:c>
      <x:c r="J368" s="278">
        <x:v>8.9672000000000001</x:v>
      </x:c>
      <x:c r="K368" s="102">
        <x:v>8.9672000000000001</x:v>
      </x:c>
      <x:c r="L368" s="102">
        <x:v>8.9672000000000001</x:v>
      </x:c>
      <x:c r="M368" s="102">
        <x:v>8.9672000000000001</x:v>
      </x:c>
      <x:c r="N368" s="102">
        <x:v>8.9672000000000001</x:v>
      </x:c>
      <x:c r="O368" s="102">
        <x:v>8.9672000000000001</x:v>
      </x:c>
      <x:c r="P368" s="102">
        <x:v>8.9672000000000001</x:v>
      </x:c>
      <x:c r="Q368" s="102">
        <x:v>8.9672000000000001</x:v>
      </x:c>
      <x:c r="R368" s="102">
        <x:v>8.9672000000000001</x:v>
      </x:c>
      <x:c r="S368" s="102">
        <x:v>8.9672000000000001</x:v>
      </x:c>
      <x:c r="T368" s="102">
        <x:v>8.9672000000000001</x:v>
      </x:c>
      <x:c r="U368" s="102">
        <x:v>8.9672000000000001</x:v>
      </x:c>
      <x:c r="V368" s="136"/>
      <x:c r="W368" s="1053"/>
      <x:c r="X368" s="861">
        <x:v>8.931943090514995</x:v>
      </x:c>
      <x:c r="Y368" s="861">
        <x:f t="shared" si="186"/>
        <x:v>3.5256909485005039E-2</x:v>
      </x:c>
    </x:row>
    <x:row r="369" spans="1:25" s="48" customFormat="1" ht="13.5">
      <x:c r="A369" s="76"/>
      <x:c r="B369" s="70"/>
      <x:c r="C369" s="240" t="s">
        <x:v>332</x:v>
      </x:c>
      <x:c r="D369" s="240"/>
      <x:c r="E369" s="240"/>
      <x:c r="F369" s="240" t="s">
        <x:v>378</x:v>
      </x:c>
      <x:c r="G369" s="241" t="s">
        <x:v>379</x:v>
      </x:c>
      <x:c r="H369" s="246">
        <x:v>1</x:v>
      </x:c>
      <x:c r="I369" s="240" t="s">
        <x:v>1089</x:v>
      </x:c>
      <x:c r="J369" s="278">
        <x:v>6.0115999999999996</x:v>
      </x:c>
      <x:c r="K369" s="102">
        <x:v>6.0115999999999996</x:v>
      </x:c>
      <x:c r="L369" s="102">
        <x:v>6.0115999999999996</x:v>
      </x:c>
      <x:c r="M369" s="102">
        <x:v>6.0115999999999996</x:v>
      </x:c>
      <x:c r="N369" s="102">
        <x:v>6.0115999999999996</x:v>
      </x:c>
      <x:c r="O369" s="102">
        <x:v>6.0115999999999996</x:v>
      </x:c>
      <x:c r="P369" s="102">
        <x:v>6.0115999999999996</x:v>
      </x:c>
      <x:c r="Q369" s="102">
        <x:v>6.0115999999999996</x:v>
      </x:c>
      <x:c r="R369" s="102">
        <x:v>6.0115999999999996</x:v>
      </x:c>
      <x:c r="S369" s="102">
        <x:v>6.0115999999999996</x:v>
      </x:c>
      <x:c r="T369" s="102">
        <x:v>6.0115999999999996</x:v>
      </x:c>
      <x:c r="U369" s="102">
        <x:v>6.0115999999999996</x:v>
      </x:c>
      <x:c r="V369" s="134"/>
      <x:c r="W369" s="1054"/>
      <x:c r="X369" s="861">
        <x:v>6.029337950897899</x:v>
      </x:c>
      <x:c r="Y369" s="861">
        <x:f t="shared" si="186"/>
        <x:v>-1.7737950897899424E-2</x:v>
      </x:c>
    </x:row>
    <x:row r="370" spans="1:25" s="48" customFormat="1" ht="13.5">
      <x:c r="A370" s="76"/>
      <x:c r="B370" s="70"/>
      <x:c r="C370" s="1165" t="s">
        <x:v>332</x:v>
      </x:c>
      <x:c r="D370" s="1142"/>
      <x:c r="E370" s="1142"/>
      <x:c r="F370" s="1142" t="str">
        <x:f t="shared" ref="F370:I370" si="194">F369</x:f>
        <x:v>BUS BAR ASY – ARRAY 1 NEG TO NEG BEC</x:v>
      </x:c>
      <x:c r="G370" s="1150" t="str">
        <x:f t="shared" si="194"/>
        <x:v>S2X8-14A033-GC</x:v>
      </x:c>
      <x:c r="H370" s="1151">
        <x:f t="shared" si="194"/>
        <x:v>1</x:v>
      </x:c>
      <x:c r="I370" s="1142" t="str">
        <x:f t="shared" si="194"/>
        <x:v>터키 현지 외주</x:v>
      </x:c>
      <x:c r="J370" s="1177">
        <x:f>J369*$W129</x:f>
        <x:v>9.0137209302325587</x:v>
      </x:c>
      <x:c r="K370" s="1178">
        <x:f t="shared" ref="K370:U370" si="195">K369*$W129</x:f>
        <x:v>9.0137209302325587</x:v>
      </x:c>
      <x:c r="L370" s="1178">
        <x:f t="shared" si="195"/>
        <x:v>9.0137209302325587</x:v>
      </x:c>
      <x:c r="M370" s="1178">
        <x:f t="shared" si="195"/>
        <x:v>9.0137209302325587</x:v>
      </x:c>
      <x:c r="N370" s="1178">
        <x:f t="shared" si="195"/>
        <x:v>9.0137209302325587</x:v>
      </x:c>
      <x:c r="O370" s="1178">
        <x:f t="shared" si="195"/>
        <x:v>9.0137209302325587</x:v>
      </x:c>
      <x:c r="P370" s="1178">
        <x:f t="shared" si="195"/>
        <x:v>9.0137209302325587</x:v>
      </x:c>
      <x:c r="Q370" s="1178">
        <x:f t="shared" si="195"/>
        <x:v>9.0137209302325587</x:v>
      </x:c>
      <x:c r="R370" s="1178">
        <x:f t="shared" si="195"/>
        <x:v>9.0137209302325587</x:v>
      </x:c>
      <x:c r="S370" s="1178">
        <x:f t="shared" si="195"/>
        <x:v>9.0137209302325587</x:v>
      </x:c>
      <x:c r="T370" s="1178">
        <x:f t="shared" si="195"/>
        <x:v>9.0137209302325587</x:v>
      </x:c>
      <x:c r="U370" s="1178">
        <x:f t="shared" si="195"/>
        <x:v>9.0137209302325587</x:v>
      </x:c>
      <x:c r="V370" s="1164"/>
      <x:c r="W370" s="1054"/>
      <x:c r="X370" s="1163"/>
      <x:c r="Y370" s="1163"/>
    </x:row>
    <x:row r="371" spans="1:25" s="48" customFormat="1" ht="13.5">
      <x:c r="A371" s="76"/>
      <x:c r="B371" s="70"/>
      <x:c r="C371" s="240" t="s">
        <x:v>332</x:v>
      </x:c>
      <x:c r="D371" s="235"/>
      <x:c r="E371" s="235"/>
      <x:c r="F371" s="235" t="s">
        <x:v>380</x:v>
      </x:c>
      <x:c r="G371" s="236" t="s">
        <x:v>381</x:v>
      </x:c>
      <x:c r="H371" s="246">
        <x:v>1</x:v>
      </x:c>
      <x:c r="I371" s="235" t="s">
        <x:v>1089</x:v>
      </x:c>
      <x:c r="J371" s="278">
        <x:v>8.9963999999999995</x:v>
      </x:c>
      <x:c r="K371" s="102">
        <x:v>8.9963999999999995</x:v>
      </x:c>
      <x:c r="L371" s="102">
        <x:v>8.9963999999999995</x:v>
      </x:c>
      <x:c r="M371" s="102">
        <x:v>8.9963999999999995</x:v>
      </x:c>
      <x:c r="N371" s="102">
        <x:v>8.9963999999999995</x:v>
      </x:c>
      <x:c r="O371" s="102">
        <x:v>8.9963999999999995</x:v>
      </x:c>
      <x:c r="P371" s="102">
        <x:v>8.9963999999999995</x:v>
      </x:c>
      <x:c r="Q371" s="102">
        <x:v>8.9963999999999995</x:v>
      </x:c>
      <x:c r="R371" s="102">
        <x:v>8.9963999999999995</x:v>
      </x:c>
      <x:c r="S371" s="102">
        <x:v>8.9963999999999995</x:v>
      </x:c>
      <x:c r="T371" s="102">
        <x:v>8.9963999999999995</x:v>
      </x:c>
      <x:c r="U371" s="102">
        <x:v>8.9963999999999995</x:v>
      </x:c>
      <x:c r="V371" s="134"/>
      <x:c r="W371" s="1054"/>
      <x:c r="X371" s="861">
        <x:v>9.0384272543811015</x:v>
      </x:c>
      <x:c r="Y371" s="861">
        <x:f t="shared" si="186"/>
        <x:v>-4.2027254381101997E-2</x:v>
      </x:c>
    </x:row>
    <x:row r="372" spans="1:25" s="48" customFormat="1" ht="13.5">
      <x:c r="A372" s="76"/>
      <x:c r="B372" s="75"/>
      <x:c r="C372" s="235" t="s">
        <x:v>332</x:v>
      </x:c>
      <x:c r="D372" s="235"/>
      <x:c r="E372" s="247"/>
      <x:c r="F372" s="248" t="s">
        <x:v>382</x:v>
      </x:c>
      <x:c r="G372" s="236" t="s">
        <x:v>383</x:v>
      </x:c>
      <x:c r="H372" s="249">
        <x:v>1</x:v>
      </x:c>
      <x:c r="I372" s="235" t="s">
        <x:v>1089</x:v>
      </x:c>
      <x:c r="J372" s="278">
        <x:v>7.6749000000000001</x:v>
      </x:c>
      <x:c r="K372" s="102">
        <x:v>7.6749000000000001</x:v>
      </x:c>
      <x:c r="L372" s="102">
        <x:v>7.6749000000000001</x:v>
      </x:c>
      <x:c r="M372" s="102">
        <x:v>7.6749000000000001</x:v>
      </x:c>
      <x:c r="N372" s="102">
        <x:v>7.6749000000000001</x:v>
      </x:c>
      <x:c r="O372" s="102">
        <x:v>7.6749000000000001</x:v>
      </x:c>
      <x:c r="P372" s="102">
        <x:v>7.6749000000000001</x:v>
      </x:c>
      <x:c r="Q372" s="102">
        <x:v>7.6749000000000001</x:v>
      </x:c>
      <x:c r="R372" s="102">
        <x:v>7.6749000000000001</x:v>
      </x:c>
      <x:c r="S372" s="102">
        <x:v>7.6749000000000001</x:v>
      </x:c>
      <x:c r="T372" s="102">
        <x:v>7.6749000000000001</x:v>
      </x:c>
      <x:c r="U372" s="102">
        <x:v>7.6749000000000001</x:v>
      </x:c>
      <x:c r="V372" s="134"/>
      <x:c r="W372" s="1068"/>
      <x:c r="X372" s="861">
        <x:v>7.6992482804071756</x:v>
      </x:c>
      <x:c r="Y372" s="861">
        <x:f t="shared" si="186"/>
        <x:v>-2.4348280407175515E-2</x:v>
      </x:c>
    </x:row>
    <x:row r="373" spans="1:25" s="48" customFormat="1" ht="13.5">
      <x:c r="A373" s="76"/>
      <x:c r="B373" s="70" t="s">
        <x:v>384</x:v>
      </x:c>
      <x:c r="C373" s="240"/>
      <x:c r="D373" s="235" t="s">
        <x:v>332</x:v>
      </x:c>
      <x:c r="E373" s="247"/>
      <x:c r="F373" s="248" t="s">
        <x:v>385</x:v>
      </x:c>
      <x:c r="G373" s="236" t="s">
        <x:v>386</x:v>
      </x:c>
      <x:c r="H373" s="249">
        <x:v>1</x:v>
      </x:c>
      <x:c r="I373" s="235" t="s">
        <x:v>387</x:v>
      </x:c>
      <x:c r="J373" s="278">
        <x:v>0.92259999999999998</x:v>
      </x:c>
      <x:c r="K373" s="278">
        <x:v>0.92259999999999998</x:v>
      </x:c>
      <x:c r="L373" s="278">
        <x:v>0.92259999999999998</x:v>
      </x:c>
      <x:c r="M373" s="278">
        <x:v>0.92259999999999998</x:v>
      </x:c>
      <x:c r="N373" s="278">
        <x:v>0.92259999999999998</x:v>
      </x:c>
      <x:c r="O373" s="278">
        <x:v>0.92259999999999998</x:v>
      </x:c>
      <x:c r="P373" s="278">
        <x:v>0.92259999999999998</x:v>
      </x:c>
      <x:c r="Q373" s="278">
        <x:v>0.92259999999999998</x:v>
      </x:c>
      <x:c r="R373" s="278">
        <x:v>0.92259999999999998</x:v>
      </x:c>
      <x:c r="S373" s="278">
        <x:v>0.92259999999999998</x:v>
      </x:c>
      <x:c r="T373" s="278">
        <x:v>0.92259999999999998</x:v>
      </x:c>
      <x:c r="U373" s="278">
        <x:v>0.92259999999999998</x:v>
      </x:c>
      <x:c r="V373" s="134"/>
      <x:c r="W373" s="1056"/>
      <x:c r="X373" s="861">
        <x:v>0.91649999999999998</x:v>
      </x:c>
      <x:c r="Y373" s="861">
        <x:f t="shared" si="186"/>
        <x:v>6.0999999999999943E-3</x:v>
      </x:c>
    </x:row>
    <x:row r="374" spans="1:25" s="48" customFormat="1" ht="13.5">
      <x:c r="A374" s="76"/>
      <x:c r="B374" s="70" t="s">
        <x:v>388</x:v>
      </x:c>
      <x:c r="C374" s="240"/>
      <x:c r="D374" s="235" t="s">
        <x:v>332</x:v>
      </x:c>
      <x:c r="E374" s="247"/>
      <x:c r="F374" s="248" t="s">
        <x:v>389</x:v>
      </x:c>
      <x:c r="G374" s="236" t="s">
        <x:v>390</x:v>
      </x:c>
      <x:c r="H374" s="249">
        <x:v>1</x:v>
      </x:c>
      <x:c r="I374" s="235" t="s">
        <x:v>387</x:v>
      </x:c>
      <x:c r="J374" s="278">
        <x:v>1.0719000000000001</x:v>
      </x:c>
      <x:c r="K374" s="278">
        <x:v>1.0719000000000001</x:v>
      </x:c>
      <x:c r="L374" s="278">
        <x:v>1.0719000000000001</x:v>
      </x:c>
      <x:c r="M374" s="278">
        <x:v>1.0719000000000001</x:v>
      </x:c>
      <x:c r="N374" s="278">
        <x:v>1.0719000000000001</x:v>
      </x:c>
      <x:c r="O374" s="278">
        <x:v>1.0719000000000001</x:v>
      </x:c>
      <x:c r="P374" s="278">
        <x:v>1.0719000000000001</x:v>
      </x:c>
      <x:c r="Q374" s="278">
        <x:v>1.0719000000000001</x:v>
      </x:c>
      <x:c r="R374" s="278">
        <x:v>1.0719000000000001</x:v>
      </x:c>
      <x:c r="S374" s="278">
        <x:v>1.0719000000000001</x:v>
      </x:c>
      <x:c r="T374" s="278">
        <x:v>1.0719000000000001</x:v>
      </x:c>
      <x:c r="U374" s="278">
        <x:v>1.0719000000000001</x:v>
      </x:c>
      <x:c r="V374" s="134"/>
      <x:c r="W374" s="1056"/>
      <x:c r="X374" s="861">
        <x:v>1.0648</x:v>
      </x:c>
      <x:c r="Y374" s="861">
        <x:f t="shared" si="186"/>
        <x:v>7.1000000000001062E-3</x:v>
      </x:c>
    </x:row>
    <x:row r="375" spans="1:25" s="48" customFormat="1" ht="13.5">
      <x:c r="A375" s="76"/>
      <x:c r="B375" s="70"/>
      <x:c r="C375" s="240"/>
      <x:c r="D375" s="235" t="s">
        <x:v>332</x:v>
      </x:c>
      <x:c r="E375" s="247"/>
      <x:c r="F375" s="248" t="s">
        <x:v>391</x:v>
      </x:c>
      <x:c r="G375" s="236" t="s">
        <x:v>392</x:v>
      </x:c>
      <x:c r="H375" s="249">
        <x:v>2</x:v>
      </x:c>
      <x:c r="I375" s="235" t="s">
        <x:v>387</x:v>
      </x:c>
      <x:c r="J375" s="278">
        <x:v>0.8256</x:v>
      </x:c>
      <x:c r="K375" s="278">
        <x:v>0.8256</x:v>
      </x:c>
      <x:c r="L375" s="278">
        <x:v>0.8256</x:v>
      </x:c>
      <x:c r="M375" s="278">
        <x:v>0.8256</x:v>
      </x:c>
      <x:c r="N375" s="278">
        <x:v>0.8256</x:v>
      </x:c>
      <x:c r="O375" s="278">
        <x:v>0.8256</x:v>
      </x:c>
      <x:c r="P375" s="278">
        <x:v>0.8256</x:v>
      </x:c>
      <x:c r="Q375" s="278">
        <x:v>0.8256</x:v>
      </x:c>
      <x:c r="R375" s="278">
        <x:v>0.8256</x:v>
      </x:c>
      <x:c r="S375" s="278">
        <x:v>0.8256</x:v>
      </x:c>
      <x:c r="T375" s="278">
        <x:v>0.8256</x:v>
      </x:c>
      <x:c r="U375" s="278">
        <x:v>0.8256</x:v>
      </x:c>
      <x:c r="V375" s="134"/>
      <x:c r="W375" s="1056"/>
      <x:c r="X375" s="861" t="e">
        <x:v>#N/A</x:v>
      </x:c>
      <x:c r="Y375" s="861" t="e">
        <x:f t="shared" si="186"/>
        <x:v>#N/A</x:v>
      </x:c>
    </x:row>
    <x:row r="376" spans="1:25" s="48" customFormat="1" ht="13.5">
      <x:c r="A376" s="78"/>
      <x:c r="B376" s="79" t="s">
        <x:v>393</x:v>
      </x:c>
      <x:c r="C376" s="240" t="s">
        <x:v>332</x:v>
      </x:c>
      <x:c r="D376" s="250"/>
      <x:c r="E376" s="250"/>
      <x:c r="F376" s="251" t="s">
        <x:v>394</x:v>
      </x:c>
      <x:c r="G376" s="252" t="s">
        <x:v>395</x:v>
      </x:c>
      <x:c r="H376" s="253">
        <x:v>1</x:v>
      </x:c>
      <x:c r="I376" s="235" t="s">
        <x:v>396</x:v>
      </x:c>
      <x:c r="J376" s="1194">
        <x:f t="shared" ref="J376:T383" si="196">$W376*$H$1</x:f>
        <x:v>166.14647063449087</x:v>
      </x:c>
      <x:c r="K376" s="1194">
        <x:f t="shared" si="196"/>
        <x:v>166.14647063449087</x:v>
      </x:c>
      <x:c r="L376" s="1194">
        <x:f t="shared" si="196"/>
        <x:v>166.14647063449087</x:v>
      </x:c>
      <x:c r="M376" s="1194">
        <x:f t="shared" si="196"/>
        <x:v>166.14647063449087</x:v>
      </x:c>
      <x:c r="N376" s="1194">
        <x:f t="shared" si="196"/>
        <x:v>166.14647063449087</x:v>
      </x:c>
      <x:c r="O376" s="1194">
        <x:f t="shared" si="196"/>
        <x:v>166.14647063449087</x:v>
      </x:c>
      <x:c r="P376" s="1194">
        <x:f t="shared" si="196"/>
        <x:v>166.14647063449087</x:v>
      </x:c>
      <x:c r="Q376" s="1194">
        <x:f t="shared" si="196"/>
        <x:v>166.14647063449087</x:v>
      </x:c>
      <x:c r="R376" s="1194">
        <x:f t="shared" si="196"/>
        <x:v>166.14647063449087</x:v>
      </x:c>
      <x:c r="S376" s="1194">
        <x:f t="shared" si="196"/>
        <x:v>166.14647063449087</x:v>
      </x:c>
      <x:c r="T376" s="1194">
        <x:f t="shared" si="196"/>
        <x:v>166.14647063449087</x:v>
      </x:c>
      <x:c r="U376" s="1194">
        <x:f>$W376*$H$1</x:f>
        <x:v>166.14647063449087</x:v>
      </x:c>
      <x:c r="V376" s="1195"/>
      <x:c r="W376" s="1192">
        <x:f>+J135*$K$1</x:f>
        <x:v>169.53721493315396</x:v>
      </x:c>
      <x:c r="X376" s="861"/>
      <x:c r="Y376" s="862"/>
    </x:row>
    <x:row r="377" spans="1:25" s="48" customFormat="1" ht="13.5">
      <x:c r="A377" s="78"/>
      <x:c r="B377" s="80"/>
      <x:c r="C377" s="235" t="s">
        <x:v>332</x:v>
      </x:c>
      <x:c r="D377" s="250"/>
      <x:c r="E377" s="250"/>
      <x:c r="F377" s="251" t="s">
        <x:v>397</x:v>
      </x:c>
      <x:c r="G377" s="252" t="s">
        <x:v>398</x:v>
      </x:c>
      <x:c r="H377" s="251">
        <x:v>1</x:v>
      </x:c>
      <x:c r="I377" s="235" t="s">
        <x:v>396</x:v>
      </x:c>
      <x:c r="J377" s="1194">
        <x:f t="shared" si="196"/>
        <x:v>142.76016718515399</x:v>
      </x:c>
      <x:c r="K377" s="1194">
        <x:f t="shared" si="196"/>
        <x:v>142.76016718515399</x:v>
      </x:c>
      <x:c r="L377" s="1194">
        <x:f t="shared" si="196"/>
        <x:v>142.76016718515399</x:v>
      </x:c>
      <x:c r="M377" s="1194">
        <x:f t="shared" si="196"/>
        <x:v>142.76016718515399</x:v>
      </x:c>
      <x:c r="N377" s="1194">
        <x:f t="shared" si="196"/>
        <x:v>142.76016718515399</x:v>
      </x:c>
      <x:c r="O377" s="1194">
        <x:f t="shared" si="196"/>
        <x:v>142.76016718515399</x:v>
      </x:c>
      <x:c r="P377" s="1194">
        <x:f t="shared" si="196"/>
        <x:v>142.76016718515399</x:v>
      </x:c>
      <x:c r="Q377" s="1194">
        <x:f t="shared" si="196"/>
        <x:v>142.76016718515399</x:v>
      </x:c>
      <x:c r="R377" s="1194">
        <x:f t="shared" si="196"/>
        <x:v>142.76016718515399</x:v>
      </x:c>
      <x:c r="S377" s="1194">
        <x:f t="shared" si="196"/>
        <x:v>142.76016718515399</x:v>
      </x:c>
      <x:c r="T377" s="1194">
        <x:f t="shared" si="196"/>
        <x:v>142.76016718515399</x:v>
      </x:c>
      <x:c r="U377" s="1194">
        <x:f t="shared" ref="U377:U383" si="197">$W377*$H$1</x:f>
        <x:v>142.76016718515399</x:v>
      </x:c>
      <x:c r="V377" s="1196"/>
      <x:c r="W377" s="1192">
        <x:f t="shared" ref="W377:W383" si="198">+J136*$K$1</x:f>
        <x:v>145.67363998485101</x:v>
      </x:c>
      <x:c r="X377" s="861"/>
      <x:c r="Y377" s="862"/>
    </x:row>
    <x:row r="378" spans="1:25" s="48" customFormat="1" ht="13.5">
      <x:c r="A378" s="76"/>
      <x:c r="B378" s="81"/>
      <x:c r="C378" s="235" t="s">
        <x:v>332</x:v>
      </x:c>
      <x:c r="D378" s="235"/>
      <x:c r="E378" s="247"/>
      <x:c r="F378" s="248" t="s">
        <x:v>399</x:v>
      </x:c>
      <x:c r="G378" s="236" t="s">
        <x:v>400</x:v>
      </x:c>
      <x:c r="H378" s="249">
        <x:v>1</x:v>
      </x:c>
      <x:c r="I378" s="235" t="s">
        <x:v>396</x:v>
      </x:c>
      <x:c r="J378" s="1194">
        <x:f t="shared" si="196"/>
        <x:v>19.931022222222222</x:v>
      </x:c>
      <x:c r="K378" s="1194">
        <x:f t="shared" si="196"/>
        <x:v>19.931022222222222</x:v>
      </x:c>
      <x:c r="L378" s="1194">
        <x:f t="shared" si="196"/>
        <x:v>19.931022222222222</x:v>
      </x:c>
      <x:c r="M378" s="1194">
        <x:f t="shared" si="196"/>
        <x:v>19.931022222222222</x:v>
      </x:c>
      <x:c r="N378" s="1194">
        <x:f t="shared" si="196"/>
        <x:v>19.931022222222222</x:v>
      </x:c>
      <x:c r="O378" s="1194">
        <x:f t="shared" si="196"/>
        <x:v>19.931022222222222</x:v>
      </x:c>
      <x:c r="P378" s="1194">
        <x:f t="shared" si="196"/>
        <x:v>19.931022222222222</x:v>
      </x:c>
      <x:c r="Q378" s="1194">
        <x:f t="shared" si="196"/>
        <x:v>19.931022222222222</x:v>
      </x:c>
      <x:c r="R378" s="1194">
        <x:f t="shared" si="196"/>
        <x:v>19.931022222222222</x:v>
      </x:c>
      <x:c r="S378" s="1194">
        <x:f t="shared" si="196"/>
        <x:v>19.931022222222222</x:v>
      </x:c>
      <x:c r="T378" s="1194">
        <x:f t="shared" si="196"/>
        <x:v>19.931022222222222</x:v>
      </x:c>
      <x:c r="U378" s="1194">
        <x:f t="shared" si="197"/>
        <x:v>19.931022222222222</x:v>
      </x:c>
      <x:c r="V378" s="1196"/>
      <x:c r="W378" s="1193">
        <x:f t="shared" si="198"/>
        <x:v>20.337777777777777</x:v>
      </x:c>
      <x:c r="X378" s="861"/>
      <x:c r="Y378" s="862"/>
    </x:row>
    <x:row r="379" spans="1:25" s="48" customFormat="1" ht="13.5">
      <x:c r="A379" s="76"/>
      <x:c r="B379" s="80"/>
      <x:c r="C379" s="235" t="s">
        <x:v>332</x:v>
      </x:c>
      <x:c r="D379" s="235"/>
      <x:c r="E379" s="247"/>
      <x:c r="F379" s="248" t="s">
        <x:v>401</x:v>
      </x:c>
      <x:c r="G379" s="236" t="s">
        <x:v>402</x:v>
      </x:c>
      <x:c r="H379" s="249">
        <x:v>2</x:v>
      </x:c>
      <x:c r="I379" s="235" t="s">
        <x:v>396</x:v>
      </x:c>
      <x:c r="J379" s="1194">
        <x:f t="shared" si="196"/>
        <x:v>11.905185185185184</x:v>
      </x:c>
      <x:c r="K379" s="1194">
        <x:f t="shared" si="196"/>
        <x:v>11.905185185185184</x:v>
      </x:c>
      <x:c r="L379" s="1194">
        <x:f t="shared" si="196"/>
        <x:v>11.905185185185184</x:v>
      </x:c>
      <x:c r="M379" s="1194">
        <x:f t="shared" si="196"/>
        <x:v>11.905185185185184</x:v>
      </x:c>
      <x:c r="N379" s="1194">
        <x:f t="shared" si="196"/>
        <x:v>11.905185185185184</x:v>
      </x:c>
      <x:c r="O379" s="1194">
        <x:f t="shared" si="196"/>
        <x:v>11.905185185185184</x:v>
      </x:c>
      <x:c r="P379" s="1194">
        <x:f t="shared" si="196"/>
        <x:v>11.905185185185184</x:v>
      </x:c>
      <x:c r="Q379" s="1194">
        <x:f t="shared" si="196"/>
        <x:v>11.905185185185184</x:v>
      </x:c>
      <x:c r="R379" s="1194">
        <x:f t="shared" si="196"/>
        <x:v>11.905185185185184</x:v>
      </x:c>
      <x:c r="S379" s="1194">
        <x:f t="shared" si="196"/>
        <x:v>11.905185185185184</x:v>
      </x:c>
      <x:c r="T379" s="1194">
        <x:f t="shared" si="196"/>
        <x:v>11.905185185185184</x:v>
      </x:c>
      <x:c r="U379" s="1194">
        <x:f t="shared" si="197"/>
        <x:v>11.905185185185184</x:v>
      </x:c>
      <x:c r="V379" s="1196"/>
      <x:c r="W379" s="1193">
        <x:f t="shared" si="198"/>
        <x:v>12.148148148148147</x:v>
      </x:c>
      <x:c r="X379" s="861"/>
      <x:c r="Y379" s="862"/>
    </x:row>
    <x:row r="380" spans="1:25" s="48" customFormat="1" ht="13.5">
      <x:c r="A380" s="76"/>
      <x:c r="B380" s="80"/>
      <x:c r="C380" s="235" t="s">
        <x:v>332</x:v>
      </x:c>
      <x:c r="D380" s="256"/>
      <x:c r="E380" s="256"/>
      <x:c r="F380" s="256" t="s">
        <x:v>403</x:v>
      </x:c>
      <x:c r="G380" s="257" t="s">
        <x:v>404</x:v>
      </x:c>
      <x:c r="H380" s="256">
        <x:v>1</x:v>
      </x:c>
      <x:c r="I380" s="235" t="s">
        <x:v>396</x:v>
      </x:c>
      <x:c r="J380" s="1194">
        <x:f t="shared" si="196"/>
        <x:v>36.72604444444444</x:v>
      </x:c>
      <x:c r="K380" s="1194">
        <x:f t="shared" si="196"/>
        <x:v>36.72604444444444</x:v>
      </x:c>
      <x:c r="L380" s="1194">
        <x:f t="shared" si="196"/>
        <x:v>36.72604444444444</x:v>
      </x:c>
      <x:c r="M380" s="1194">
        <x:f t="shared" si="196"/>
        <x:v>36.72604444444444</x:v>
      </x:c>
      <x:c r="N380" s="1194">
        <x:f t="shared" si="196"/>
        <x:v>36.72604444444444</x:v>
      </x:c>
      <x:c r="O380" s="1194">
        <x:f t="shared" si="196"/>
        <x:v>36.72604444444444</x:v>
      </x:c>
      <x:c r="P380" s="1194">
        <x:f t="shared" si="196"/>
        <x:v>36.72604444444444</x:v>
      </x:c>
      <x:c r="Q380" s="1194">
        <x:f t="shared" si="196"/>
        <x:v>36.72604444444444</x:v>
      </x:c>
      <x:c r="R380" s="1194">
        <x:f t="shared" si="196"/>
        <x:v>36.72604444444444</x:v>
      </x:c>
      <x:c r="S380" s="1194">
        <x:f t="shared" si="196"/>
        <x:v>36.72604444444444</x:v>
      </x:c>
      <x:c r="T380" s="1194">
        <x:f t="shared" si="196"/>
        <x:v>36.72604444444444</x:v>
      </x:c>
      <x:c r="U380" s="1194">
        <x:f t="shared" si="197"/>
        <x:v>36.72604444444444</x:v>
      </x:c>
      <x:c r="V380" s="1196"/>
      <x:c r="W380" s="1193">
        <x:f t="shared" si="198"/>
        <x:v>37.475555555555552</x:v>
      </x:c>
      <x:c r="X380" s="861"/>
      <x:c r="Y380" s="862"/>
    </x:row>
    <x:row r="381" spans="1:25" s="48" customFormat="1" ht="13.5">
      <x:c r="A381" s="78"/>
      <x:c r="B381" s="80"/>
      <x:c r="C381" s="240" t="s">
        <x:v>332</x:v>
      </x:c>
      <x:c r="D381" s="250"/>
      <x:c r="E381" s="250"/>
      <x:c r="F381" s="251" t="s">
        <x:v>405</x:v>
      </x:c>
      <x:c r="G381" s="252" t="s">
        <x:v>406</x:v>
      </x:c>
      <x:c r="H381" s="251">
        <x:v>1</x:v>
      </x:c>
      <x:c r="I381" s="235" t="s">
        <x:v>396</x:v>
      </x:c>
      <x:c r="J381" s="1194">
        <x:f t="shared" si="196"/>
        <x:v>14.959881481481482</x:v>
      </x:c>
      <x:c r="K381" s="1194">
        <x:f t="shared" si="196"/>
        <x:v>14.959881481481482</x:v>
      </x:c>
      <x:c r="L381" s="1194">
        <x:f t="shared" si="196"/>
        <x:v>14.959881481481482</x:v>
      </x:c>
      <x:c r="M381" s="1194">
        <x:f t="shared" si="196"/>
        <x:v>14.959881481481482</x:v>
      </x:c>
      <x:c r="N381" s="1194">
        <x:f t="shared" si="196"/>
        <x:v>14.959881481481482</x:v>
      </x:c>
      <x:c r="O381" s="1194">
        <x:f t="shared" si="196"/>
        <x:v>14.959881481481482</x:v>
      </x:c>
      <x:c r="P381" s="1194">
        <x:f t="shared" si="196"/>
        <x:v>14.959881481481482</x:v>
      </x:c>
      <x:c r="Q381" s="1194">
        <x:f t="shared" si="196"/>
        <x:v>14.959881481481482</x:v>
      </x:c>
      <x:c r="R381" s="1194">
        <x:f t="shared" si="196"/>
        <x:v>14.959881481481482</x:v>
      </x:c>
      <x:c r="S381" s="1194">
        <x:f t="shared" si="196"/>
        <x:v>14.959881481481482</x:v>
      </x:c>
      <x:c r="T381" s="1194">
        <x:f t="shared" si="196"/>
        <x:v>14.959881481481482</x:v>
      </x:c>
      <x:c r="U381" s="1194">
        <x:f t="shared" si="197"/>
        <x:v>14.959881481481482</x:v>
      </x:c>
      <x:c r="V381" s="1196"/>
      <x:c r="W381" s="1193">
        <x:f t="shared" si="198"/>
        <x:v>15.265185185185185</x:v>
      </x:c>
      <x:c r="X381" s="861"/>
      <x:c r="Y381" s="862"/>
    </x:row>
    <x:row r="382" spans="1:25" s="48" customFormat="1" ht="13.5">
      <x:c r="A382" s="78"/>
      <x:c r="B382" s="80"/>
      <x:c r="C382" s="235" t="s">
        <x:v>332</x:v>
      </x:c>
      <x:c r="D382" s="250"/>
      <x:c r="E382" s="250"/>
      <x:c r="F382" s="251" t="s">
        <x:v>407</x:v>
      </x:c>
      <x:c r="G382" s="252" t="s">
        <x:v>408</x:v>
      </x:c>
      <x:c r="H382" s="251">
        <x:v>1</x:v>
      </x:c>
      <x:c r="I382" s="235" t="s">
        <x:v>396</x:v>
      </x:c>
      <x:c r="J382" s="1194">
        <x:f t="shared" si="196"/>
        <x:v>30.546962962962962</x:v>
      </x:c>
      <x:c r="K382" s="1194">
        <x:f t="shared" si="196"/>
        <x:v>30.546962962962962</x:v>
      </x:c>
      <x:c r="L382" s="1194">
        <x:f t="shared" si="196"/>
        <x:v>30.546962962962962</x:v>
      </x:c>
      <x:c r="M382" s="1194">
        <x:f t="shared" si="196"/>
        <x:v>30.546962962962962</x:v>
      </x:c>
      <x:c r="N382" s="1194">
        <x:f t="shared" si="196"/>
        <x:v>30.546962962962962</x:v>
      </x:c>
      <x:c r="O382" s="1194">
        <x:f t="shared" si="196"/>
        <x:v>30.546962962962962</x:v>
      </x:c>
      <x:c r="P382" s="1194">
        <x:f t="shared" si="196"/>
        <x:v>30.546962962962962</x:v>
      </x:c>
      <x:c r="Q382" s="1194">
        <x:f t="shared" si="196"/>
        <x:v>30.546962962962962</x:v>
      </x:c>
      <x:c r="R382" s="1194">
        <x:f t="shared" si="196"/>
        <x:v>30.546962962962962</x:v>
      </x:c>
      <x:c r="S382" s="1194">
        <x:f t="shared" si="196"/>
        <x:v>30.546962962962962</x:v>
      </x:c>
      <x:c r="T382" s="1194">
        <x:f t="shared" si="196"/>
        <x:v>30.546962962962962</x:v>
      </x:c>
      <x:c r="U382" s="1194">
        <x:f t="shared" si="197"/>
        <x:v>30.546962962962962</x:v>
      </x:c>
      <x:c r="V382" s="1196"/>
      <x:c r="W382" s="1193">
        <x:f t="shared" si="198"/>
        <x:v>31.170370370370371</x:v>
      </x:c>
      <x:c r="X382" s="861"/>
      <x:c r="Y382" s="862"/>
    </x:row>
    <x:row r="383" spans="1:25" s="48" customFormat="1" ht="13.5">
      <x:c r="A383" s="78"/>
      <x:c r="B383" s="80"/>
      <x:c r="C383" s="240" t="s">
        <x:v>332</x:v>
      </x:c>
      <x:c r="D383" s="259"/>
      <x:c r="E383" s="259"/>
      <x:c r="F383" s="253" t="s">
        <x:v>409</x:v>
      </x:c>
      <x:c r="G383" s="260" t="s">
        <x:v>410</x:v>
      </x:c>
      <x:c r="H383" s="253">
        <x:v>1</x:v>
      </x:c>
      <x:c r="I383" s="240" t="s">
        <x:v>396</x:v>
      </x:c>
      <x:c r="J383" s="1194">
        <x:f t="shared" si="196"/>
        <x:v>23.067022222222221</x:v>
      </x:c>
      <x:c r="K383" s="1194">
        <x:f t="shared" si="196"/>
        <x:v>23.067022222222221</x:v>
      </x:c>
      <x:c r="L383" s="1194">
        <x:f t="shared" si="196"/>
        <x:v>23.067022222222221</x:v>
      </x:c>
      <x:c r="M383" s="1194">
        <x:f t="shared" si="196"/>
        <x:v>23.067022222222221</x:v>
      </x:c>
      <x:c r="N383" s="1194">
        <x:f t="shared" si="196"/>
        <x:v>23.067022222222221</x:v>
      </x:c>
      <x:c r="O383" s="1194">
        <x:f t="shared" si="196"/>
        <x:v>23.067022222222221</x:v>
      </x:c>
      <x:c r="P383" s="1194">
        <x:f t="shared" si="196"/>
        <x:v>23.067022222222221</x:v>
      </x:c>
      <x:c r="Q383" s="1194">
        <x:f t="shared" si="196"/>
        <x:v>23.067022222222221</x:v>
      </x:c>
      <x:c r="R383" s="1194">
        <x:f t="shared" si="196"/>
        <x:v>23.067022222222221</x:v>
      </x:c>
      <x:c r="S383" s="1194">
        <x:f t="shared" si="196"/>
        <x:v>23.067022222222221</x:v>
      </x:c>
      <x:c r="T383" s="1194">
        <x:f t="shared" si="196"/>
        <x:v>23.067022222222221</x:v>
      </x:c>
      <x:c r="U383" s="1194">
        <x:f t="shared" si="197"/>
        <x:v>23.067022222222221</x:v>
      </x:c>
      <x:c r="V383" s="1196"/>
      <x:c r="W383" s="1192">
        <x:f t="shared" si="198"/>
        <x:v>23.537777777777777</x:v>
      </x:c>
      <x:c r="X383" s="861"/>
      <x:c r="Y383" s="862"/>
    </x:row>
    <x:row r="384" spans="1:25" s="48" customFormat="1" ht="13.5">
      <x:c r="A384" s="78"/>
      <x:c r="B384" s="80"/>
      <x:c r="C384" s="235" t="s">
        <x:v>332</x:v>
      </x:c>
      <x:c r="D384" s="250"/>
      <x:c r="E384" s="250"/>
      <x:c r="F384" s="251" t="s">
        <x:v>353</x:v>
      </x:c>
      <x:c r="G384" s="252" t="s">
        <x:v>411</x:v>
      </x:c>
      <x:c r="H384" s="251">
        <x:v>3</x:v>
      </x:c>
      <x:c r="I384" s="251" t="s">
        <x:v>1089</x:v>
      </x:c>
      <x:c r="J384" s="1186">
        <x:f>+J143*80%</x:f>
        <x:v>12.517164620554851</x:v>
      </x:c>
      <x:c r="K384" s="1186">
        <x:f t="shared" ref="K384:U384" si="199">+K143*80%</x:f>
        <x:v>12.517164620554851</x:v>
      </x:c>
      <x:c r="L384" s="1186">
        <x:f t="shared" si="199"/>
        <x:v>12.517164620554851</x:v>
      </x:c>
      <x:c r="M384" s="1186">
        <x:f t="shared" si="199"/>
        <x:v>12.517164620554851</x:v>
      </x:c>
      <x:c r="N384" s="1186">
        <x:f t="shared" si="199"/>
        <x:v>12.517164620554851</x:v>
      </x:c>
      <x:c r="O384" s="1186">
        <x:f t="shared" si="199"/>
        <x:v>12.517164620554851</x:v>
      </x:c>
      <x:c r="P384" s="1186">
        <x:f t="shared" si="199"/>
        <x:v>12.517164620554851</x:v>
      </x:c>
      <x:c r="Q384" s="1186">
        <x:f t="shared" si="199"/>
        <x:v>12.517164620554851</x:v>
      </x:c>
      <x:c r="R384" s="1186">
        <x:f t="shared" si="199"/>
        <x:v>12.517164620554851</x:v>
      </x:c>
      <x:c r="S384" s="1186">
        <x:f t="shared" si="199"/>
        <x:v>12.517164620554851</x:v>
      </x:c>
      <x:c r="T384" s="1186">
        <x:f t="shared" si="199"/>
        <x:v>12.517164620554851</x:v>
      </x:c>
      <x:c r="U384" s="1186">
        <x:f t="shared" si="199"/>
        <x:v>12.517164620554851</x:v>
      </x:c>
      <x:c r="V384" s="1196"/>
      <x:c r="W384" s="280"/>
      <x:c r="X384" s="861" t="e">
        <x:v>#N/A</x:v>
      </x:c>
      <x:c r="Y384" s="861" t="e">
        <x:f>+U384-X384</x:f>
        <x:v>#N/A</x:v>
      </x:c>
    </x:row>
    <x:row r="385" spans="1:25" s="48" customFormat="1" ht="13.5">
      <x:c r="A385" s="78"/>
      <x:c r="B385" s="80"/>
      <x:c r="C385" s="240" t="s">
        <x:v>332</x:v>
      </x:c>
      <x:c r="D385" s="250"/>
      <x:c r="E385" s="250"/>
      <x:c r="F385" s="251" t="s">
        <x:v>412</x:v>
      </x:c>
      <x:c r="G385" s="252" t="s">
        <x:v>413</x:v>
      </x:c>
      <x:c r="H385" s="251">
        <x:v>1</x:v>
      </x:c>
      <x:c r="I385" s="251" t="s">
        <x:v>1089</x:v>
      </x:c>
      <x:c r="J385" s="1186">
        <x:f t="shared" ref="J385:J387" si="200">+J144*80%</x:f>
        <x:v>17.030236807892297</x:v>
      </x:c>
      <x:c r="K385" s="1186">
        <x:f t="shared" ref="K385:U385" si="201">+K144*80%</x:f>
        <x:v>17.030236807892297</x:v>
      </x:c>
      <x:c r="L385" s="1186">
        <x:f t="shared" si="201"/>
        <x:v>17.030236807892297</x:v>
      </x:c>
      <x:c r="M385" s="1186">
        <x:f t="shared" si="201"/>
        <x:v>17.030236807892297</x:v>
      </x:c>
      <x:c r="N385" s="1186">
        <x:f t="shared" si="201"/>
        <x:v>17.030236807892297</x:v>
      </x:c>
      <x:c r="O385" s="1186">
        <x:f t="shared" si="201"/>
        <x:v>17.030236807892297</x:v>
      </x:c>
      <x:c r="P385" s="1186">
        <x:f t="shared" si="201"/>
        <x:v>17.030236807892297</x:v>
      </x:c>
      <x:c r="Q385" s="1186">
        <x:f t="shared" si="201"/>
        <x:v>17.030236807892297</x:v>
      </x:c>
      <x:c r="R385" s="1186">
        <x:f t="shared" si="201"/>
        <x:v>17.030236807892297</x:v>
      </x:c>
      <x:c r="S385" s="1186">
        <x:f t="shared" si="201"/>
        <x:v>17.030236807892297</x:v>
      </x:c>
      <x:c r="T385" s="1186">
        <x:f t="shared" si="201"/>
        <x:v>17.030236807892297</x:v>
      </x:c>
      <x:c r="U385" s="1186">
        <x:f t="shared" si="201"/>
        <x:v>17.030236807892297</x:v>
      </x:c>
      <x:c r="V385" s="1196"/>
      <x:c r="W385" s="280"/>
      <x:c r="X385" s="861" t="e">
        <x:v>#N/A</x:v>
      </x:c>
      <x:c r="Y385" s="861" t="e">
        <x:f>+U385-X385</x:f>
        <x:v>#N/A</x:v>
      </x:c>
    </x:row>
    <x:row r="386" spans="1:25" s="48" customFormat="1" ht="13.5">
      <x:c r="A386" s="78"/>
      <x:c r="B386" s="80"/>
      <x:c r="C386" s="235" t="s">
        <x:v>332</x:v>
      </x:c>
      <x:c r="D386" s="250"/>
      <x:c r="E386" s="250"/>
      <x:c r="F386" s="251" t="s">
        <x:v>358</x:v>
      </x:c>
      <x:c r="G386" s="252" t="s">
        <x:v>414</x:v>
      </x:c>
      <x:c r="H386" s="253">
        <x:v>1</x:v>
      </x:c>
      <x:c r="I386" s="251" t="s">
        <x:v>1089</x:v>
      </x:c>
      <x:c r="J386" s="1186">
        <x:f t="shared" si="200"/>
        <x:v>15.788853623471727</x:v>
      </x:c>
      <x:c r="K386" s="1186">
        <x:f t="shared" ref="K386:U386" si="202">+K145*80%</x:f>
        <x:v>15.788853623471727</x:v>
      </x:c>
      <x:c r="L386" s="1186">
        <x:f t="shared" si="202"/>
        <x:v>15.788853623471727</x:v>
      </x:c>
      <x:c r="M386" s="1186">
        <x:f t="shared" si="202"/>
        <x:v>15.788853623471727</x:v>
      </x:c>
      <x:c r="N386" s="1186">
        <x:f t="shared" si="202"/>
        <x:v>15.788853623471727</x:v>
      </x:c>
      <x:c r="O386" s="1186">
        <x:f t="shared" si="202"/>
        <x:v>15.788853623471727</x:v>
      </x:c>
      <x:c r="P386" s="1186">
        <x:f t="shared" si="202"/>
        <x:v>15.788853623471727</x:v>
      </x:c>
      <x:c r="Q386" s="1186">
        <x:f t="shared" si="202"/>
        <x:v>15.788853623471727</x:v>
      </x:c>
      <x:c r="R386" s="1186">
        <x:f t="shared" si="202"/>
        <x:v>15.788853623471727</x:v>
      </x:c>
      <x:c r="S386" s="1186">
        <x:f t="shared" si="202"/>
        <x:v>15.788853623471727</x:v>
      </x:c>
      <x:c r="T386" s="1186">
        <x:f t="shared" si="202"/>
        <x:v>15.788853623471727</x:v>
      </x:c>
      <x:c r="U386" s="1186">
        <x:f t="shared" si="202"/>
        <x:v>15.788853623471727</x:v>
      </x:c>
      <x:c r="V386" s="1196"/>
      <x:c r="W386" s="280"/>
      <x:c r="X386" s="861" t="e">
        <x:v>#N/A</x:v>
      </x:c>
      <x:c r="Y386" s="861" t="e">
        <x:f>+U386-X386</x:f>
        <x:v>#N/A</x:v>
      </x:c>
    </x:row>
    <x:row r="387" spans="1:25" s="48" customFormat="1" ht="13.5">
      <x:c r="A387" s="78"/>
      <x:c r="B387" s="80"/>
      <x:c r="C387" s="240" t="s">
        <x:v>332</x:v>
      </x:c>
      <x:c r="D387" s="250"/>
      <x:c r="E387" s="250"/>
      <x:c r="F387" s="251" t="s">
        <x:v>415</x:v>
      </x:c>
      <x:c r="G387" s="252" t="s">
        <x:v>416</x:v>
      </x:c>
      <x:c r="H387" s="253">
        <x:v>1</x:v>
      </x:c>
      <x:c r="I387" s="253" t="s">
        <x:v>1089</x:v>
      </x:c>
      <x:c r="J387" s="1186">
        <x:f t="shared" si="200"/>
        <x:v>16.7984305432832</x:v>
      </x:c>
      <x:c r="K387" s="1186">
        <x:f t="shared" ref="K387:U387" si="203">+K146*80%</x:f>
        <x:v>16.7984305432832</x:v>
      </x:c>
      <x:c r="L387" s="1186">
        <x:f t="shared" si="203"/>
        <x:v>16.7984305432832</x:v>
      </x:c>
      <x:c r="M387" s="1186">
        <x:f t="shared" si="203"/>
        <x:v>16.7984305432832</x:v>
      </x:c>
      <x:c r="N387" s="1186">
        <x:f t="shared" si="203"/>
        <x:v>16.7984305432832</x:v>
      </x:c>
      <x:c r="O387" s="1186">
        <x:f t="shared" si="203"/>
        <x:v>16.7984305432832</x:v>
      </x:c>
      <x:c r="P387" s="1186">
        <x:f t="shared" si="203"/>
        <x:v>16.7984305432832</x:v>
      </x:c>
      <x:c r="Q387" s="1186">
        <x:f t="shared" si="203"/>
        <x:v>16.7984305432832</x:v>
      </x:c>
      <x:c r="R387" s="1186">
        <x:f t="shared" si="203"/>
        <x:v>16.7984305432832</x:v>
      </x:c>
      <x:c r="S387" s="1186">
        <x:f t="shared" si="203"/>
        <x:v>16.7984305432832</x:v>
      </x:c>
      <x:c r="T387" s="1186">
        <x:f t="shared" si="203"/>
        <x:v>16.7984305432832</x:v>
      </x:c>
      <x:c r="U387" s="1186">
        <x:f t="shared" si="203"/>
        <x:v>16.7984305432832</x:v>
      </x:c>
      <x:c r="V387" s="1196"/>
      <x:c r="W387" s="280"/>
      <x:c r="X387" s="861" t="e">
        <x:v>#N/A</x:v>
      </x:c>
      <x:c r="Y387" s="861" t="e">
        <x:f>+U387-X387</x:f>
        <x:v>#N/A</x:v>
      </x:c>
    </x:row>
    <x:row r="388" spans="1:25" s="48" customFormat="1" ht="13.5">
      <x:c r="A388" s="78"/>
      <x:c r="B388" s="80"/>
      <x:c r="C388" s="240" t="s">
        <x:v>332</x:v>
      </x:c>
      <x:c r="D388" s="259"/>
      <x:c r="E388" s="259"/>
      <x:c r="F388" s="253" t="s">
        <x:v>417</x:v>
      </x:c>
      <x:c r="G388" s="260" t="s">
        <x:v>418</x:v>
      </x:c>
      <x:c r="H388" s="253">
        <x:v>1</x:v>
      </x:c>
      <x:c r="I388" s="240" t="s">
        <x:v>396</x:v>
      </x:c>
      <x:c r="J388" s="1194">
        <x:f t="shared" ref="J388:T388" si="204">$W388*$H$1</x:f>
        <x:v>30.697738466683205</x:v>
      </x:c>
      <x:c r="K388" s="1194">
        <x:f t="shared" si="204"/>
        <x:v>30.697738466683205</x:v>
      </x:c>
      <x:c r="L388" s="1194">
        <x:f t="shared" si="204"/>
        <x:v>30.697738466683205</x:v>
      </x:c>
      <x:c r="M388" s="1194">
        <x:f t="shared" si="204"/>
        <x:v>30.697738466683205</x:v>
      </x:c>
      <x:c r="N388" s="1194">
        <x:f t="shared" si="204"/>
        <x:v>30.697738466683205</x:v>
      </x:c>
      <x:c r="O388" s="1194">
        <x:f t="shared" si="204"/>
        <x:v>30.697738466683205</x:v>
      </x:c>
      <x:c r="P388" s="1194">
        <x:f t="shared" si="204"/>
        <x:v>30.697738466683205</x:v>
      </x:c>
      <x:c r="Q388" s="1194">
        <x:f t="shared" si="204"/>
        <x:v>30.697738466683205</x:v>
      </x:c>
      <x:c r="R388" s="1194">
        <x:f t="shared" si="204"/>
        <x:v>30.697738466683205</x:v>
      </x:c>
      <x:c r="S388" s="1194">
        <x:f t="shared" si="204"/>
        <x:v>30.697738466683205</x:v>
      </x:c>
      <x:c r="T388" s="1194">
        <x:f t="shared" si="204"/>
        <x:v>30.697738466683205</x:v>
      </x:c>
      <x:c r="U388" s="1194">
        <x:f t="shared" ref="U388" si="205">$W388*$H$1</x:f>
        <x:v>30.697738466683205</x:v>
      </x:c>
      <x:c r="V388" s="1197"/>
      <x:c r="W388" s="1191">
        <x:f t="shared" ref="W388" si="206">+J147*$K$1</x:f>
        <x:v>31.324222925186945</x:v>
      </x:c>
      <x:c r="X388" s="861"/>
      <x:c r="Y388" s="862" t="s">
        <x:v>1276</x:v>
      </x:c>
    </x:row>
    <x:row r="389" spans="1:25" s="48" customFormat="1" ht="13.5">
      <x:c r="A389" s="258"/>
      <x:c r="B389" s="1218" t="s">
        <x:v>1046</x:v>
      </x:c>
      <x:c r="C389" s="235"/>
      <x:c r="D389" s="235" t="s">
        <x:v>332</x:v>
      </x:c>
      <x:c r="E389" s="250"/>
      <x:c r="F389" s="251" t="s">
        <x:v>1047</x:v>
      </x:c>
      <x:c r="G389" s="252" t="s">
        <x:v>386</x:v>
      </x:c>
      <x:c r="H389" s="251">
        <x:v>1</x:v>
      </x:c>
      <x:c r="I389" s="251" t="s">
        <x:v>1089</x:v>
      </x:c>
      <x:c r="J389" s="274">
        <x:v>0.92259999999999998</x:v>
      </x:c>
      <x:c r="K389" s="275">
        <x:v>0.92259999999999998</x:v>
      </x:c>
      <x:c r="L389" s="275">
        <x:v>0.92259999999999998</x:v>
      </x:c>
      <x:c r="M389" s="275">
        <x:v>0.92259999999999998</x:v>
      </x:c>
      <x:c r="N389" s="275">
        <x:v>0.92259999999999998</x:v>
      </x:c>
      <x:c r="O389" s="275">
        <x:v>0.92259999999999998</x:v>
      </x:c>
      <x:c r="P389" s="275">
        <x:v>0.92259999999999998</x:v>
      </x:c>
      <x:c r="Q389" s="275">
        <x:v>0.92259999999999998</x:v>
      </x:c>
      <x:c r="R389" s="275">
        <x:v>0.92259999999999998</x:v>
      </x:c>
      <x:c r="S389" s="275">
        <x:v>0.92259999999999998</x:v>
      </x:c>
      <x:c r="T389" s="275">
        <x:v>0.92259999999999998</x:v>
      </x:c>
      <x:c r="U389" s="275">
        <x:v>0.92259999999999998</x:v>
      </x:c>
      <x:c r="V389" s="65">
        <x:v>0</x:v>
      </x:c>
      <x:c r="W389" s="1063"/>
      <x:c r="X389" s="861">
        <x:v>0.91649999999999998</x:v>
      </x:c>
      <x:c r="Y389" s="861">
        <x:f t="shared" ref="Y389:Y395" si="207">+U389-X389</x:f>
        <x:v>6.0999999999999943E-3</x:v>
      </x:c>
    </x:row>
    <x:row r="390" spans="1:25" s="48" customFormat="1" ht="13.5">
      <x:c r="A390" s="258"/>
      <x:c r="B390" s="1219"/>
      <x:c r="C390" s="235"/>
      <x:c r="D390" s="235" t="s">
        <x:v>332</x:v>
      </x:c>
      <x:c r="E390" s="250"/>
      <x:c r="F390" s="263" t="s">
        <x:v>1048</x:v>
      </x:c>
      <x:c r="G390" s="252" t="s">
        <x:v>390</x:v>
      </x:c>
      <x:c r="H390" s="251">
        <x:v>1</x:v>
      </x:c>
      <x:c r="I390" s="251" t="s">
        <x:v>1089</x:v>
      </x:c>
      <x:c r="J390" s="102">
        <x:v>1.0719000000000001</x:v>
      </x:c>
      <x:c r="K390" s="278">
        <x:v>1.0719000000000001</x:v>
      </x:c>
      <x:c r="L390" s="278">
        <x:v>1.0719000000000001</x:v>
      </x:c>
      <x:c r="M390" s="278">
        <x:v>1.0719000000000001</x:v>
      </x:c>
      <x:c r="N390" s="278">
        <x:v>1.0719000000000001</x:v>
      </x:c>
      <x:c r="O390" s="278">
        <x:v>1.0719000000000001</x:v>
      </x:c>
      <x:c r="P390" s="278">
        <x:v>1.0719000000000001</x:v>
      </x:c>
      <x:c r="Q390" s="278">
        <x:v>1.0719000000000001</x:v>
      </x:c>
      <x:c r="R390" s="278">
        <x:v>1.0719000000000001</x:v>
      </x:c>
      <x:c r="S390" s="278">
        <x:v>1.0719000000000001</x:v>
      </x:c>
      <x:c r="T390" s="278">
        <x:v>1.0719000000000001</x:v>
      </x:c>
      <x:c r="U390" s="278">
        <x:v>1.0719000000000001</x:v>
      </x:c>
      <x:c r="V390" s="65">
        <x:v>0</x:v>
      </x:c>
      <x:c r="W390" s="1063"/>
      <x:c r="X390" s="861">
        <x:v>1.0648</x:v>
      </x:c>
      <x:c r="Y390" s="861">
        <x:f t="shared" si="207"/>
        <x:v>7.1000000000001062E-3</x:v>
      </x:c>
    </x:row>
    <x:row r="391" spans="1:25" s="48" customFormat="1" ht="13.5">
      <x:c r="A391" s="258"/>
      <x:c r="B391" s="1219"/>
      <x:c r="C391" s="235"/>
      <x:c r="D391" s="235" t="s">
        <x:v>332</x:v>
      </x:c>
      <x:c r="E391" s="250"/>
      <x:c r="F391" s="251" t="s">
        <x:v>1049</x:v>
      </x:c>
      <x:c r="G391" s="252" t="s">
        <x:v>1050</x:v>
      </x:c>
      <x:c r="H391" s="251">
        <x:v>2</x:v>
      </x:c>
      <x:c r="I391" s="251" t="s">
        <x:v>1089</x:v>
      </x:c>
      <x:c r="J391" s="278">
        <x:v>0.8256</x:v>
      </x:c>
      <x:c r="K391" s="278">
        <x:v>0.8256</x:v>
      </x:c>
      <x:c r="L391" s="278">
        <x:v>0.8256</x:v>
      </x:c>
      <x:c r="M391" s="278">
        <x:v>0.8256</x:v>
      </x:c>
      <x:c r="N391" s="278">
        <x:v>0.8256</x:v>
      </x:c>
      <x:c r="O391" s="278">
        <x:v>0.8256</x:v>
      </x:c>
      <x:c r="P391" s="278">
        <x:v>0.8256</x:v>
      </x:c>
      <x:c r="Q391" s="278">
        <x:v>0.8256</x:v>
      </x:c>
      <x:c r="R391" s="278">
        <x:v>0.8256</x:v>
      </x:c>
      <x:c r="S391" s="278">
        <x:v>0.8256</x:v>
      </x:c>
      <x:c r="T391" s="278">
        <x:v>0.8256</x:v>
      </x:c>
      <x:c r="U391" s="278">
        <x:v>0.8256</x:v>
      </x:c>
      <x:c r="V391" s="65">
        <x:v>0</x:v>
      </x:c>
      <x:c r="W391" s="1063"/>
      <x:c r="X391" s="861">
        <x:v>0.82010000000000005</x:v>
      </x:c>
      <x:c r="Y391" s="861">
        <x:f t="shared" si="207"/>
        <x:v>5.4999999999999494E-3</x:v>
      </x:c>
    </x:row>
    <x:row r="392" spans="1:25" s="48" customFormat="1" ht="13.5">
      <x:c r="A392" s="258"/>
      <x:c r="B392" s="1219"/>
      <x:c r="C392" s="235"/>
      <x:c r="D392" s="235" t="s">
        <x:v>332</x:v>
      </x:c>
      <x:c r="E392" s="250"/>
      <x:c r="F392" s="251" t="s">
        <x:v>1051</x:v>
      </x:c>
      <x:c r="G392" s="252" t="s">
        <x:v>1052</x:v>
      </x:c>
      <x:c r="H392" s="251">
        <x:v>4</x:v>
      </x:c>
      <x:c r="I392" s="251" t="s">
        <x:v>1089</x:v>
      </x:c>
      <x:c r="J392" s="275">
        <x:v>0.95540000000000003</x:v>
      </x:c>
      <x:c r="K392" s="275">
        <x:v>0.95540000000000003</x:v>
      </x:c>
      <x:c r="L392" s="275">
        <x:v>0.95540000000000003</x:v>
      </x:c>
      <x:c r="M392" s="275">
        <x:v>0.95540000000000003</x:v>
      </x:c>
      <x:c r="N392" s="275">
        <x:v>0.95540000000000003</x:v>
      </x:c>
      <x:c r="O392" s="275">
        <x:v>0.95540000000000003</x:v>
      </x:c>
      <x:c r="P392" s="275">
        <x:v>0.95540000000000003</x:v>
      </x:c>
      <x:c r="Q392" s="275">
        <x:v>0.95540000000000003</x:v>
      </x:c>
      <x:c r="R392" s="275">
        <x:v>0.95540000000000003</x:v>
      </x:c>
      <x:c r="S392" s="275">
        <x:v>0.95540000000000003</x:v>
      </x:c>
      <x:c r="T392" s="275">
        <x:v>0.95540000000000003</x:v>
      </x:c>
      <x:c r="U392" s="275">
        <x:v>0.95540000000000003</x:v>
      </x:c>
      <x:c r="V392" s="65">
        <x:v>0</x:v>
      </x:c>
      <x:c r="W392" s="1063"/>
      <x:c r="X392" s="861" t="e">
        <x:v>#N/A</x:v>
      </x:c>
      <x:c r="Y392" s="861" t="e">
        <x:f t="shared" si="207"/>
        <x:v>#N/A</x:v>
      </x:c>
    </x:row>
    <x:row r="393" spans="1:25" s="48" customFormat="1" ht="13.5">
      <x:c r="A393" s="258"/>
      <x:c r="B393" s="1219"/>
      <x:c r="C393" s="235"/>
      <x:c r="D393" s="235" t="s">
        <x:v>332</x:v>
      </x:c>
      <x:c r="E393" s="250"/>
      <x:c r="F393" s="251" t="s">
        <x:v>1053</x:v>
      </x:c>
      <x:c r="G393" s="252" t="s">
        <x:v>1054</x:v>
      </x:c>
      <x:c r="H393" s="251">
        <x:v>1</x:v>
      </x:c>
      <x:c r="I393" s="251" t="s">
        <x:v>1089</x:v>
      </x:c>
      <x:c r="J393" s="275">
        <x:v>0.57179999999999997</x:v>
      </x:c>
      <x:c r="K393" s="275">
        <x:v>0.57179999999999997</x:v>
      </x:c>
      <x:c r="L393" s="275">
        <x:v>0.57179999999999997</x:v>
      </x:c>
      <x:c r="M393" s="275">
        <x:v>0.57179999999999997</x:v>
      </x:c>
      <x:c r="N393" s="275">
        <x:v>0.57179999999999997</x:v>
      </x:c>
      <x:c r="O393" s="275">
        <x:v>0.57179999999999997</x:v>
      </x:c>
      <x:c r="P393" s="275">
        <x:v>0.57179999999999997</x:v>
      </x:c>
      <x:c r="Q393" s="275">
        <x:v>0.57179999999999997</x:v>
      </x:c>
      <x:c r="R393" s="275">
        <x:v>0.57179999999999997</x:v>
      </x:c>
      <x:c r="S393" s="275">
        <x:v>0.57179999999999997</x:v>
      </x:c>
      <x:c r="T393" s="275">
        <x:v>0.57179999999999997</x:v>
      </x:c>
      <x:c r="U393" s="275">
        <x:v>0.57179999999999997</x:v>
      </x:c>
      <x:c r="V393" s="65">
        <x:v>0</x:v>
      </x:c>
      <x:c r="W393" s="1063"/>
      <x:c r="X393" s="861" t="e">
        <x:v>#N/A</x:v>
      </x:c>
      <x:c r="Y393" s="861" t="e">
        <x:f t="shared" si="207"/>
        <x:v>#N/A</x:v>
      </x:c>
    </x:row>
    <x:row r="394" spans="1:25" s="48" customFormat="1" ht="13.5">
      <x:c r="A394" s="258"/>
      <x:c r="B394" s="1219"/>
      <x:c r="C394" s="235"/>
      <x:c r="D394" s="235" t="s">
        <x:v>332</x:v>
      </x:c>
      <x:c r="E394" s="250"/>
      <x:c r="F394" s="251" t="s">
        <x:v>1055</x:v>
      </x:c>
      <x:c r="G394" s="252" t="s">
        <x:v>1056</x:v>
      </x:c>
      <x:c r="H394" s="251">
        <x:v>2</x:v>
      </x:c>
      <x:c r="I394" s="251" t="s">
        <x:v>1089</x:v>
      </x:c>
      <x:c r="J394" s="275">
        <x:v>1.0121</x:v>
      </x:c>
      <x:c r="K394" s="275">
        <x:v>1.0121</x:v>
      </x:c>
      <x:c r="L394" s="275">
        <x:v>1.0121</x:v>
      </x:c>
      <x:c r="M394" s="275">
        <x:v>1.0121</x:v>
      </x:c>
      <x:c r="N394" s="275">
        <x:v>1.0121</x:v>
      </x:c>
      <x:c r="O394" s="275">
        <x:v>1.0121</x:v>
      </x:c>
      <x:c r="P394" s="275">
        <x:v>1.0121</x:v>
      </x:c>
      <x:c r="Q394" s="275">
        <x:v>1.0121</x:v>
      </x:c>
      <x:c r="R394" s="275">
        <x:v>1.0121</x:v>
      </x:c>
      <x:c r="S394" s="275">
        <x:v>1.0121</x:v>
      </x:c>
      <x:c r="T394" s="275">
        <x:v>1.0121</x:v>
      </x:c>
      <x:c r="U394" s="275">
        <x:v>1.0121</x:v>
      </x:c>
      <x:c r="V394" s="65">
        <x:v>0</x:v>
      </x:c>
      <x:c r="W394" s="1063"/>
      <x:c r="X394" s="861" t="e">
        <x:v>#N/A</x:v>
      </x:c>
      <x:c r="Y394" s="861" t="e">
        <x:f t="shared" si="207"/>
        <x:v>#N/A</x:v>
      </x:c>
    </x:row>
    <x:row r="395" spans="1:25" s="48" customFormat="1" ht="13.5">
      <x:c r="A395" s="258"/>
      <x:c r="B395" s="1219"/>
      <x:c r="C395" s="235"/>
      <x:c r="D395" s="235" t="s">
        <x:v>332</x:v>
      </x:c>
      <x:c r="E395" s="250"/>
      <x:c r="F395" s="251" t="s">
        <x:v>1057</x:v>
      </x:c>
      <x:c r="G395" s="252" t="s">
        <x:v>1058</x:v>
      </x:c>
      <x:c r="H395" s="251">
        <x:v>1</x:v>
      </x:c>
      <x:c r="I395" s="251" t="s">
        <x:v>1089</x:v>
      </x:c>
      <x:c r="J395" s="275">
        <x:v>0.41249999999999998</x:v>
      </x:c>
      <x:c r="K395" s="275">
        <x:v>0.41249999999999998</x:v>
      </x:c>
      <x:c r="L395" s="275">
        <x:v>0.41249999999999998</x:v>
      </x:c>
      <x:c r="M395" s="275">
        <x:v>0.41249999999999998</x:v>
      </x:c>
      <x:c r="N395" s="275">
        <x:v>0.41249999999999998</x:v>
      </x:c>
      <x:c r="O395" s="275">
        <x:v>0.41249999999999998</x:v>
      </x:c>
      <x:c r="P395" s="275">
        <x:v>0.41249999999999998</x:v>
      </x:c>
      <x:c r="Q395" s="275">
        <x:v>0.41249999999999998</x:v>
      </x:c>
      <x:c r="R395" s="275">
        <x:v>0.41249999999999998</x:v>
      </x:c>
      <x:c r="S395" s="275">
        <x:v>0.41249999999999998</x:v>
      </x:c>
      <x:c r="T395" s="275">
        <x:v>0.41249999999999998</x:v>
      </x:c>
      <x:c r="U395" s="275">
        <x:v>0.41249999999999998</x:v>
      </x:c>
      <x:c r="V395" s="65">
        <x:v>0</x:v>
      </x:c>
      <x:c r="W395" s="1063"/>
      <x:c r="X395" s="861" t="e">
        <x:v>#N/A</x:v>
      </x:c>
      <x:c r="Y395" s="861" t="e">
        <x:f t="shared" si="207"/>
        <x:v>#N/A</x:v>
      </x:c>
    </x:row>
    <x:row r="396" spans="1:25" s="48" customFormat="1" ht="14.25" thickBot="1">
      <x:c r="A396" s="264"/>
      <x:c r="B396" s="1223"/>
      <x:c r="C396" s="82"/>
      <x:c r="D396" s="82" t="s">
        <x:v>332</x:v>
      </x:c>
      <x:c r="E396" s="83"/>
      <x:c r="F396" s="84" t="s">
        <x:v>1059</x:v>
      </x:c>
      <x:c r="G396" s="85" t="s">
        <x:v>1060</x:v>
      </x:c>
      <x:c r="H396" s="84">
        <x:v>1</x:v>
      </x:c>
      <x:c r="I396" s="84" t="s">
        <x:v>1089</x:v>
      </x:c>
      <x:c r="J396" s="281">
        <x:v>0.63180000000000003</x:v>
      </x:c>
      <x:c r="K396" s="281">
        <x:v>0.63180000000000003</x:v>
      </x:c>
      <x:c r="L396" s="281">
        <x:v>0.63180000000000003</x:v>
      </x:c>
      <x:c r="M396" s="281">
        <x:v>0.63180000000000003</x:v>
      </x:c>
      <x:c r="N396" s="281">
        <x:v>0.63180000000000003</x:v>
      </x:c>
      <x:c r="O396" s="281">
        <x:v>0.63180000000000003</x:v>
      </x:c>
      <x:c r="P396" s="281">
        <x:v>0.63180000000000003</x:v>
      </x:c>
      <x:c r="Q396" s="281">
        <x:v>0.63180000000000003</x:v>
      </x:c>
      <x:c r="R396" s="281">
        <x:v>0.63180000000000003</x:v>
      </x:c>
      <x:c r="S396" s="281">
        <x:v>0.63180000000000003</x:v>
      </x:c>
      <x:c r="T396" s="281">
        <x:v>0.63180000000000003</x:v>
      </x:c>
      <x:c r="U396" s="281">
        <x:v>0.63180000000000003</x:v>
      </x:c>
      <x:c r="V396" s="87">
        <x:v>0</x:v>
      </x:c>
      <x:c r="W396" s="1064"/>
      <x:c r="X396" s="842"/>
    </x:row>
    <x:row r="397" spans="1:25" s="48" customFormat="1" ht="14.25" thickTop="1">
      <x:c r="A397" s="139"/>
      <x:c r="B397" s="140"/>
      <x:c r="C397" s="141"/>
      <x:c r="D397" s="141"/>
      <x:c r="E397" s="141"/>
      <x:c r="F397" s="142"/>
      <x:c r="G397" s="141"/>
      <x:c r="H397" s="141"/>
      <x:c r="I397" s="141"/>
      <x:c r="J397" s="143"/>
      <x:c r="K397" s="143"/>
      <x:c r="L397" s="143"/>
      <x:c r="M397" s="143"/>
      <x:c r="N397" s="143"/>
      <x:c r="O397" s="143"/>
      <x:c r="P397" s="143"/>
      <x:c r="Q397" s="144"/>
      <x:c r="R397" s="144"/>
      <x:c r="S397" s="144"/>
      <x:c r="T397" s="144"/>
      <x:c r="U397" s="144"/>
      <x:c r="V397" s="143"/>
      <x:c r="W397" s="1073"/>
    </x:row>
    <x:row r="398" spans="1:25" s="48" customFormat="1" ht="17.25">
      <x:c r="A398" s="93" t="s">
        <x:v>439</x:v>
      </x:c>
      <x:c r="B398" s="94"/>
      <x:c r="C398" s="94"/>
      <x:c r="D398" s="94"/>
      <x:c r="E398" s="94"/>
      <x:c r="F398" s="95"/>
      <x:c r="G398" s="106" t="s">
        <x:v>431</x:v>
      </x:c>
      <x:c r="H398" s="107"/>
      <x:c r="I398" s="108">
        <x:v>51</x:v>
      </x:c>
      <x:c r="J398" s="94"/>
      <x:c r="K398" s="106" t="s">
        <x:v>1521</x:v>
      </x:c>
      <x:c r="L398" s="1170">
        <x:f>+'Exchange Rate'!$D$13</x:f>
        <x:v>43</x:v>
      </x:c>
      <x:c r="M398" s="94"/>
      <x:c r="N398" s="94"/>
      <x:c r="O398" s="94"/>
      <x:c r="P398" s="94"/>
      <x:c r="Q398" s="94"/>
      <x:c r="R398" s="94"/>
      <x:c r="S398" s="94"/>
      <x:c r="T398" s="94"/>
      <x:c r="U398" s="94"/>
      <x:c r="V398" s="94"/>
      <x:c r="W398" s="1073" t="s">
        <x:v>440</x:v>
      </x:c>
    </x:row>
    <x:row r="399" spans="1:25" s="48" customFormat="1" ht="13.5">
      <x:c r="A399" s="1225" t="s">
        <x:v>421</x:v>
      </x:c>
      <x:c r="B399" s="1220" t="s">
        <x:v>309</x:v>
      </x:c>
      <x:c r="C399" s="1227" t="s">
        <x:v>422</x:v>
      </x:c>
      <x:c r="D399" s="1228"/>
      <x:c r="E399" s="1229"/>
      <x:c r="F399" s="1230" t="s">
        <x:v>423</x:v>
      </x:c>
      <x:c r="G399" s="1220" t="s">
        <x:v>424</x:v>
      </x:c>
      <x:c r="H399" s="1220" t="s">
        <x:v>425</x:v>
      </x:c>
      <x:c r="I399" s="1220" t="s">
        <x:v>426</x:v>
      </x:c>
      <x:c r="J399" s="1213" t="s">
        <x:v>427</x:v>
      </x:c>
      <x:c r="K399" s="1214"/>
      <x:c r="L399" s="1214"/>
      <x:c r="M399" s="1214"/>
      <x:c r="N399" s="1214"/>
      <x:c r="O399" s="1214"/>
      <x:c r="P399" s="1214"/>
      <x:c r="Q399" s="1214"/>
      <x:c r="R399" s="1214"/>
      <x:c r="S399" s="1214"/>
      <x:c r="T399" s="1214"/>
      <x:c r="U399" s="1214"/>
      <x:c r="V399" s="1215"/>
      <x:c r="W399" s="1216" t="s">
        <x:v>426</x:v>
      </x:c>
    </x:row>
    <x:row r="400" spans="1:25" s="48" customFormat="1" ht="14.25" thickBot="1">
      <x:c r="A400" s="1232"/>
      <x:c r="B400" s="1221"/>
      <x:c r="C400" s="270">
        <x:v>1</x:v>
      </x:c>
      <x:c r="D400" s="270">
        <x:v>2</x:v>
      </x:c>
      <x:c r="E400" s="270">
        <x:v>3</x:v>
      </x:c>
      <x:c r="F400" s="1233"/>
      <x:c r="G400" s="1221"/>
      <x:c r="H400" s="1221"/>
      <x:c r="I400" s="1221"/>
      <x:c r="J400" s="271" t="s">
        <x:v>428</x:v>
      </x:c>
      <x:c r="K400" s="271" t="s">
        <x:v>318</x:v>
      </x:c>
      <x:c r="L400" s="271" t="s">
        <x:v>319</x:v>
      </x:c>
      <x:c r="M400" s="271" t="s">
        <x:v>320</x:v>
      </x:c>
      <x:c r="N400" s="271" t="s">
        <x:v>321</x:v>
      </x:c>
      <x:c r="O400" s="271" t="s">
        <x:v>322</x:v>
      </x:c>
      <x:c r="P400" s="271" t="s">
        <x:v>323</x:v>
      </x:c>
      <x:c r="Q400" s="271" t="s">
        <x:v>324</x:v>
      </x:c>
      <x:c r="R400" s="271" t="s">
        <x:v>325</x:v>
      </x:c>
      <x:c r="S400" s="271" t="s">
        <x:v>326</x:v>
      </x:c>
      <x:c r="T400" s="271" t="s">
        <x:v>327</x:v>
      </x:c>
      <x:c r="U400" s="271" t="s">
        <x:v>328</x:v>
      </x:c>
      <x:c r="V400" s="272" t="s">
        <x:v>429</x:v>
      </x:c>
      <x:c r="W400" s="1222"/>
    </x:row>
    <x:row r="401" spans="1:23" s="48" customFormat="1" ht="14.25" thickTop="1">
      <x:c r="A401" s="51" t="s">
        <x:v>330</x:v>
      </x:c>
      <x:c r="B401" s="52" t="s">
        <x:v>331</x:v>
      </x:c>
      <x:c r="C401" s="53" t="s">
        <x:v>332</x:v>
      </x:c>
      <x:c r="D401" s="53"/>
      <x:c r="E401" s="53"/>
      <x:c r="F401" s="53" t="s">
        <x:v>333</x:v>
      </x:c>
      <x:c r="G401" s="54" t="s">
        <x:v>334</x:v>
      </x:c>
      <x:c r="H401" s="53">
        <x:v>1</x:v>
      </x:c>
      <x:c r="I401" s="53" t="s">
        <x:v>1088</x:v>
      </x:c>
      <x:c r="J401" s="109">
        <x:f t="shared" ref="J401:U401" si="208">+$I$398*J324</x:f>
        <x:v>3900.7401</x:v>
      </x:c>
      <x:c r="K401" s="109">
        <x:f t="shared" si="208"/>
        <x:v>3900.7401</x:v>
      </x:c>
      <x:c r="L401" s="109">
        <x:f t="shared" si="208"/>
        <x:v>3900.7401</x:v>
      </x:c>
      <x:c r="M401" s="109">
        <x:f t="shared" si="208"/>
        <x:v>3900.7401</x:v>
      </x:c>
      <x:c r="N401" s="109">
        <x:f t="shared" si="208"/>
        <x:v>3900.7401</x:v>
      </x:c>
      <x:c r="O401" s="109">
        <x:f t="shared" si="208"/>
        <x:v>3900.7401</x:v>
      </x:c>
      <x:c r="P401" s="109">
        <x:f t="shared" si="208"/>
        <x:v>3900.7401</x:v>
      </x:c>
      <x:c r="Q401" s="109">
        <x:f t="shared" si="208"/>
        <x:v>3900.7401</x:v>
      </x:c>
      <x:c r="R401" s="109">
        <x:f t="shared" si="208"/>
        <x:v>3900.7401</x:v>
      </x:c>
      <x:c r="S401" s="109">
        <x:f t="shared" si="208"/>
        <x:v>3900.7401</x:v>
      </x:c>
      <x:c r="T401" s="109">
        <x:f t="shared" si="208"/>
        <x:v>3900.7401</x:v>
      </x:c>
      <x:c r="U401" s="109">
        <x:f t="shared" si="208"/>
        <x:v>3900.7401</x:v>
      </x:c>
      <x:c r="V401" s="132"/>
      <x:c r="W401" s="1046" t="s">
        <x:v>335</x:v>
      </x:c>
    </x:row>
    <x:row r="402" spans="1:23" s="48" customFormat="1" ht="13.5">
      <x:c r="A402" s="58" t="s">
        <x:v>336</x:v>
      </x:c>
      <x:c r="B402" s="59"/>
      <x:c r="C402" s="235" t="s">
        <x:v>332</x:v>
      </x:c>
      <x:c r="D402" s="235"/>
      <x:c r="E402" s="235"/>
      <x:c r="F402" s="235" t="s">
        <x:v>337</x:v>
      </x:c>
      <x:c r="G402" s="236" t="s">
        <x:v>338</x:v>
      </x:c>
      <x:c r="H402" s="235">
        <x:v>1</x:v>
      </x:c>
      <x:c r="I402" s="235" t="s">
        <x:v>1089</x:v>
      </x:c>
      <x:c r="J402" s="282">
        <x:f t="shared" ref="J402:U402" si="209">+$I$398*J325</x:f>
        <x:v>802.8777</x:v>
      </x:c>
      <x:c r="K402" s="282">
        <x:f t="shared" si="209"/>
        <x:v>802.8777</x:v>
      </x:c>
      <x:c r="L402" s="282">
        <x:f t="shared" si="209"/>
        <x:v>802.8777</x:v>
      </x:c>
      <x:c r="M402" s="282">
        <x:f t="shared" si="209"/>
        <x:v>802.8777</x:v>
      </x:c>
      <x:c r="N402" s="282">
        <x:f t="shared" si="209"/>
        <x:v>802.8777</x:v>
      </x:c>
      <x:c r="O402" s="282">
        <x:f t="shared" si="209"/>
        <x:v>802.8777</x:v>
      </x:c>
      <x:c r="P402" s="282">
        <x:f t="shared" si="209"/>
        <x:v>802.8777</x:v>
      </x:c>
      <x:c r="Q402" s="282">
        <x:f t="shared" si="209"/>
        <x:v>802.8777</x:v>
      </x:c>
      <x:c r="R402" s="282">
        <x:f t="shared" si="209"/>
        <x:v>802.8777</x:v>
      </x:c>
      <x:c r="S402" s="282">
        <x:f t="shared" si="209"/>
        <x:v>802.8777</x:v>
      </x:c>
      <x:c r="T402" s="282">
        <x:f t="shared" si="209"/>
        <x:v>802.8777</x:v>
      </x:c>
      <x:c r="U402" s="282">
        <x:f t="shared" si="209"/>
        <x:v>802.8777</x:v>
      </x:c>
      <x:c r="V402" s="133"/>
      <x:c r="W402" s="1046" t="s">
        <x:v>339</x:v>
      </x:c>
    </x:row>
    <x:row r="403" spans="1:23" s="48" customFormat="1" ht="13.5">
      <x:c r="A403" s="58"/>
      <x:c r="B403" s="59"/>
      <x:c r="C403" s="61" t="s">
        <x:v>332</x:v>
      </x:c>
      <x:c r="D403" s="61"/>
      <x:c r="E403" s="61"/>
      <x:c r="F403" s="61" t="s">
        <x:v>340</x:v>
      </x:c>
      <x:c r="G403" s="62" t="s">
        <x:v>341</x:v>
      </x:c>
      <x:c r="H403" s="61">
        <x:v>3</x:v>
      </x:c>
      <x:c r="I403" s="61" t="s">
        <x:v>1089</x:v>
      </x:c>
      <x:c r="J403" s="285">
        <x:f t="shared" ref="J403:U403" si="210">+$I$398*J326</x:f>
        <x:v>136.5882</x:v>
      </x:c>
      <x:c r="K403" s="285">
        <x:f t="shared" si="210"/>
        <x:v>136.5882</x:v>
      </x:c>
      <x:c r="L403" s="285">
        <x:f t="shared" si="210"/>
        <x:v>136.5882</x:v>
      </x:c>
      <x:c r="M403" s="285">
        <x:f t="shared" si="210"/>
        <x:v>136.5882</x:v>
      </x:c>
      <x:c r="N403" s="285">
        <x:f t="shared" si="210"/>
        <x:v>136.5882</x:v>
      </x:c>
      <x:c r="O403" s="285">
        <x:f t="shared" si="210"/>
        <x:v>136.5882</x:v>
      </x:c>
      <x:c r="P403" s="285">
        <x:f t="shared" si="210"/>
        <x:v>136.5882</x:v>
      </x:c>
      <x:c r="Q403" s="285">
        <x:f t="shared" si="210"/>
        <x:v>136.5882</x:v>
      </x:c>
      <x:c r="R403" s="285">
        <x:f t="shared" si="210"/>
        <x:v>136.5882</x:v>
      </x:c>
      <x:c r="S403" s="285">
        <x:f t="shared" si="210"/>
        <x:v>136.5882</x:v>
      </x:c>
      <x:c r="T403" s="285">
        <x:f t="shared" si="210"/>
        <x:v>136.5882</x:v>
      </x:c>
      <x:c r="U403" s="285">
        <x:f t="shared" si="210"/>
        <x:v>136.5882</x:v>
      </x:c>
      <x:c r="V403" s="134"/>
      <x:c r="W403" s="1046" t="s">
        <x:v>339</x:v>
      </x:c>
    </x:row>
    <x:row r="404" spans="1:23" s="48" customFormat="1" ht="13.5">
      <x:c r="A404" s="58"/>
      <x:c r="B404" s="59"/>
      <x:c r="C404" s="240" t="s">
        <x:v>332</x:v>
      </x:c>
      <x:c r="D404" s="240"/>
      <x:c r="E404" s="240"/>
      <x:c r="F404" s="240" t="s">
        <x:v>342</x:v>
      </x:c>
      <x:c r="G404" s="241" t="s">
        <x:v>343</x:v>
      </x:c>
      <x:c r="H404" s="240">
        <x:v>3</x:v>
      </x:c>
      <x:c r="I404" s="240" t="s">
        <x:v>1089</x:v>
      </x:c>
      <x:c r="J404" s="285">
        <x:f t="shared" ref="J404:U404" si="211">+$I$398*J327</x:f>
        <x:v>172.05869999999999</x:v>
      </x:c>
      <x:c r="K404" s="285">
        <x:f t="shared" si="211"/>
        <x:v>172.05869999999999</x:v>
      </x:c>
      <x:c r="L404" s="285">
        <x:f t="shared" si="211"/>
        <x:v>172.05869999999999</x:v>
      </x:c>
      <x:c r="M404" s="285">
        <x:f t="shared" si="211"/>
        <x:v>172.05869999999999</x:v>
      </x:c>
      <x:c r="N404" s="285">
        <x:f t="shared" si="211"/>
        <x:v>172.05869999999999</x:v>
      </x:c>
      <x:c r="O404" s="285">
        <x:f t="shared" si="211"/>
        <x:v>172.05869999999999</x:v>
      </x:c>
      <x:c r="P404" s="285">
        <x:f t="shared" si="211"/>
        <x:v>172.05869999999999</x:v>
      </x:c>
      <x:c r="Q404" s="285">
        <x:f t="shared" si="211"/>
        <x:v>172.05869999999999</x:v>
      </x:c>
      <x:c r="R404" s="285">
        <x:f t="shared" si="211"/>
        <x:v>172.05869999999999</x:v>
      </x:c>
      <x:c r="S404" s="285">
        <x:f t="shared" si="211"/>
        <x:v>172.05869999999999</x:v>
      </x:c>
      <x:c r="T404" s="285">
        <x:f t="shared" si="211"/>
        <x:v>172.05869999999999</x:v>
      </x:c>
      <x:c r="U404" s="285">
        <x:f t="shared" si="211"/>
        <x:v>172.05869999999999</x:v>
      </x:c>
      <x:c r="V404" s="134"/>
      <x:c r="W404" s="1046" t="s">
        <x:v>339</x:v>
      </x:c>
    </x:row>
    <x:row r="405" spans="1:23" s="48" customFormat="1" ht="13.5">
      <x:c r="A405" s="58"/>
      <x:c r="B405" s="59"/>
      <x:c r="C405" s="235" t="s">
        <x:v>332</x:v>
      </x:c>
      <x:c r="D405" s="235"/>
      <x:c r="E405" s="235"/>
      <x:c r="F405" s="235" t="s">
        <x:v>344</x:v>
      </x:c>
      <x:c r="G405" s="236" t="s">
        <x:v>345</x:v>
      </x:c>
      <x:c r="H405" s="235">
        <x:v>1</x:v>
      </x:c>
      <x:c r="I405" s="235" t="s">
        <x:v>1089</x:v>
      </x:c>
      <x:c r="J405" s="284">
        <x:f t="shared" ref="J405:U405" si="212">+$I$398*J328</x:f>
        <x:v>88.219800000000006</x:v>
      </x:c>
      <x:c r="K405" s="285">
        <x:f t="shared" si="212"/>
        <x:v>88.219800000000006</x:v>
      </x:c>
      <x:c r="L405" s="285">
        <x:f t="shared" si="212"/>
        <x:v>88.219800000000006</x:v>
      </x:c>
      <x:c r="M405" s="285">
        <x:f t="shared" si="212"/>
        <x:v>88.219800000000006</x:v>
      </x:c>
      <x:c r="N405" s="285">
        <x:f t="shared" si="212"/>
        <x:v>88.219800000000006</x:v>
      </x:c>
      <x:c r="O405" s="285">
        <x:f t="shared" si="212"/>
        <x:v>88.219800000000006</x:v>
      </x:c>
      <x:c r="P405" s="285">
        <x:f t="shared" si="212"/>
        <x:v>88.219800000000006</x:v>
      </x:c>
      <x:c r="Q405" s="285">
        <x:f t="shared" si="212"/>
        <x:v>88.219800000000006</x:v>
      </x:c>
      <x:c r="R405" s="285">
        <x:f t="shared" si="212"/>
        <x:v>88.219800000000006</x:v>
      </x:c>
      <x:c r="S405" s="285">
        <x:f t="shared" si="212"/>
        <x:v>88.219800000000006</x:v>
      </x:c>
      <x:c r="T405" s="285">
        <x:f t="shared" si="212"/>
        <x:v>88.219800000000006</x:v>
      </x:c>
      <x:c r="U405" s="285">
        <x:f t="shared" si="212"/>
        <x:v>88.219800000000006</x:v>
      </x:c>
      <x:c r="V405" s="134"/>
      <x:c r="W405" s="1046" t="s">
        <x:v>339</x:v>
      </x:c>
    </x:row>
    <x:row r="406" spans="1:23" s="48" customFormat="1" ht="13.5">
      <x:c r="A406" s="58"/>
      <x:c r="B406" s="66" t="s">
        <x:v>346</x:v>
      </x:c>
      <x:c r="C406" s="67" t="s">
        <x:v>332</x:v>
      </x:c>
      <x:c r="D406" s="67"/>
      <x:c r="E406" s="67"/>
      <x:c r="F406" s="67" t="s">
        <x:v>333</x:v>
      </x:c>
      <x:c r="G406" s="68" t="s">
        <x:v>334</x:v>
      </x:c>
      <x:c r="H406" s="67">
        <x:v>1</x:v>
      </x:c>
      <x:c r="I406" s="67" t="s">
        <x:v>1088</x:v>
      </x:c>
      <x:c r="J406" s="286">
        <x:f t="shared" ref="J406:U406" si="213">+$I$398*J329</x:f>
        <x:v>3900.7401</x:v>
      </x:c>
      <x:c r="K406" s="115">
        <x:f t="shared" si="213"/>
        <x:v>3900.7401</x:v>
      </x:c>
      <x:c r="L406" s="115">
        <x:f t="shared" si="213"/>
        <x:v>3900.7401</x:v>
      </x:c>
      <x:c r="M406" s="115">
        <x:f t="shared" si="213"/>
        <x:v>3900.7401</x:v>
      </x:c>
      <x:c r="N406" s="115">
        <x:f t="shared" si="213"/>
        <x:v>3900.7401</x:v>
      </x:c>
      <x:c r="O406" s="115">
        <x:f t="shared" si="213"/>
        <x:v>3900.7401</x:v>
      </x:c>
      <x:c r="P406" s="115">
        <x:f t="shared" si="213"/>
        <x:v>3900.7401</x:v>
      </x:c>
      <x:c r="Q406" s="115">
        <x:f t="shared" si="213"/>
        <x:v>3900.7401</x:v>
      </x:c>
      <x:c r="R406" s="115">
        <x:f t="shared" si="213"/>
        <x:v>3900.7401</x:v>
      </x:c>
      <x:c r="S406" s="115">
        <x:f t="shared" si="213"/>
        <x:v>3900.7401</x:v>
      </x:c>
      <x:c r="T406" s="115">
        <x:f t="shared" si="213"/>
        <x:v>3900.7401</x:v>
      </x:c>
      <x:c r="U406" s="115">
        <x:f t="shared" si="213"/>
        <x:v>3900.7401</x:v>
      </x:c>
      <x:c r="V406" s="135"/>
      <x:c r="W406" s="1052" t="s">
        <x:v>347</x:v>
      </x:c>
    </x:row>
    <x:row r="407" spans="1:23" s="48" customFormat="1" ht="13.5">
      <x:c r="A407" s="58"/>
      <x:c r="B407" s="59"/>
      <x:c r="C407" s="235" t="s">
        <x:v>332</x:v>
      </x:c>
      <x:c r="D407" s="235"/>
      <x:c r="E407" s="235"/>
      <x:c r="F407" s="235" t="s">
        <x:v>337</x:v>
      </x:c>
      <x:c r="G407" s="236" t="s">
        <x:v>338</x:v>
      </x:c>
      <x:c r="H407" s="235">
        <x:v>1</x:v>
      </x:c>
      <x:c r="I407" s="235" t="s">
        <x:v>1089</x:v>
      </x:c>
      <x:c r="J407" s="287">
        <x:f t="shared" ref="J407:U407" si="214">+$I$398*J330</x:f>
        <x:v>802.8777</x:v>
      </x:c>
      <x:c r="K407" s="282">
        <x:f t="shared" si="214"/>
        <x:v>802.8777</x:v>
      </x:c>
      <x:c r="L407" s="282">
        <x:f t="shared" si="214"/>
        <x:v>802.8777</x:v>
      </x:c>
      <x:c r="M407" s="282">
        <x:f t="shared" si="214"/>
        <x:v>802.8777</x:v>
      </x:c>
      <x:c r="N407" s="282">
        <x:f t="shared" si="214"/>
        <x:v>802.8777</x:v>
      </x:c>
      <x:c r="O407" s="282">
        <x:f t="shared" si="214"/>
        <x:v>802.8777</x:v>
      </x:c>
      <x:c r="P407" s="282">
        <x:f t="shared" si="214"/>
        <x:v>802.8777</x:v>
      </x:c>
      <x:c r="Q407" s="282">
        <x:f t="shared" si="214"/>
        <x:v>802.8777</x:v>
      </x:c>
      <x:c r="R407" s="282">
        <x:f t="shared" si="214"/>
        <x:v>802.8777</x:v>
      </x:c>
      <x:c r="S407" s="282">
        <x:f t="shared" si="214"/>
        <x:v>802.8777</x:v>
      </x:c>
      <x:c r="T407" s="282">
        <x:f t="shared" si="214"/>
        <x:v>802.8777</x:v>
      </x:c>
      <x:c r="U407" s="282">
        <x:f t="shared" si="214"/>
        <x:v>802.8777</x:v>
      </x:c>
      <x:c r="V407" s="133"/>
      <x:c r="W407" s="1046" t="s">
        <x:v>339</x:v>
      </x:c>
    </x:row>
    <x:row r="408" spans="1:23" s="48" customFormat="1" ht="13.5">
      <x:c r="A408" s="58"/>
      <x:c r="B408" s="59"/>
      <x:c r="C408" s="61" t="s">
        <x:v>332</x:v>
      </x:c>
      <x:c r="D408" s="61"/>
      <x:c r="E408" s="61"/>
      <x:c r="F408" s="61" t="s">
        <x:v>340</x:v>
      </x:c>
      <x:c r="G408" s="62" t="s">
        <x:v>341</x:v>
      </x:c>
      <x:c r="H408" s="61">
        <x:v>3</x:v>
      </x:c>
      <x:c r="I408" s="61" t="s">
        <x:v>1089</x:v>
      </x:c>
      <x:c r="J408" s="283">
        <x:f t="shared" ref="J408:U408" si="215">+$I$398*J331</x:f>
        <x:v>136.5882</x:v>
      </x:c>
      <x:c r="K408" s="112">
        <x:f t="shared" si="215"/>
        <x:v>136.5882</x:v>
      </x:c>
      <x:c r="L408" s="112">
        <x:f t="shared" si="215"/>
        <x:v>136.5882</x:v>
      </x:c>
      <x:c r="M408" s="112">
        <x:f t="shared" si="215"/>
        <x:v>136.5882</x:v>
      </x:c>
      <x:c r="N408" s="112">
        <x:f t="shared" si="215"/>
        <x:v>136.5882</x:v>
      </x:c>
      <x:c r="O408" s="112">
        <x:f t="shared" si="215"/>
        <x:v>136.5882</x:v>
      </x:c>
      <x:c r="P408" s="112">
        <x:f t="shared" si="215"/>
        <x:v>136.5882</x:v>
      </x:c>
      <x:c r="Q408" s="112">
        <x:f t="shared" si="215"/>
        <x:v>136.5882</x:v>
      </x:c>
      <x:c r="R408" s="112">
        <x:f t="shared" si="215"/>
        <x:v>136.5882</x:v>
      </x:c>
      <x:c r="S408" s="112">
        <x:f t="shared" si="215"/>
        <x:v>136.5882</x:v>
      </x:c>
      <x:c r="T408" s="112">
        <x:f t="shared" si="215"/>
        <x:v>136.5882</x:v>
      </x:c>
      <x:c r="U408" s="112">
        <x:f t="shared" si="215"/>
        <x:v>136.5882</x:v>
      </x:c>
      <x:c r="V408" s="136"/>
      <x:c r="W408" s="1046" t="s">
        <x:v>339</x:v>
      </x:c>
    </x:row>
    <x:row r="409" spans="1:23" s="48" customFormat="1" ht="13.5">
      <x:c r="A409" s="58"/>
      <x:c r="B409" s="59"/>
      <x:c r="C409" s="240" t="s">
        <x:v>332</x:v>
      </x:c>
      <x:c r="D409" s="240"/>
      <x:c r="E409" s="240"/>
      <x:c r="F409" s="240" t="s">
        <x:v>342</x:v>
      </x:c>
      <x:c r="G409" s="241" t="s">
        <x:v>343</x:v>
      </x:c>
      <x:c r="H409" s="240">
        <x:v>3</x:v>
      </x:c>
      <x:c r="I409" s="240" t="s">
        <x:v>1089</x:v>
      </x:c>
      <x:c r="J409" s="284">
        <x:f t="shared" ref="J409:U409" si="216">+$I$398*J332</x:f>
        <x:v>172.05869999999999</x:v>
      </x:c>
      <x:c r="K409" s="285">
        <x:f t="shared" si="216"/>
        <x:v>172.05869999999999</x:v>
      </x:c>
      <x:c r="L409" s="285">
        <x:f t="shared" si="216"/>
        <x:v>172.05869999999999</x:v>
      </x:c>
      <x:c r="M409" s="285">
        <x:f t="shared" si="216"/>
        <x:v>172.05869999999999</x:v>
      </x:c>
      <x:c r="N409" s="285">
        <x:f t="shared" si="216"/>
        <x:v>172.05869999999999</x:v>
      </x:c>
      <x:c r="O409" s="285">
        <x:f t="shared" si="216"/>
        <x:v>172.05869999999999</x:v>
      </x:c>
      <x:c r="P409" s="285">
        <x:f t="shared" si="216"/>
        <x:v>172.05869999999999</x:v>
      </x:c>
      <x:c r="Q409" s="285">
        <x:f t="shared" si="216"/>
        <x:v>172.05869999999999</x:v>
      </x:c>
      <x:c r="R409" s="285">
        <x:f t="shared" si="216"/>
        <x:v>172.05869999999999</x:v>
      </x:c>
      <x:c r="S409" s="285">
        <x:f t="shared" si="216"/>
        <x:v>172.05869999999999</x:v>
      </x:c>
      <x:c r="T409" s="285">
        <x:f t="shared" si="216"/>
        <x:v>172.05869999999999</x:v>
      </x:c>
      <x:c r="U409" s="285">
        <x:f t="shared" si="216"/>
        <x:v>172.05869999999999</x:v>
      </x:c>
      <x:c r="V409" s="136"/>
      <x:c r="W409" s="1046" t="s">
        <x:v>339</x:v>
      </x:c>
    </x:row>
    <x:row r="410" spans="1:23" s="48" customFormat="1" ht="13.5">
      <x:c r="A410" s="58"/>
      <x:c r="B410" s="69"/>
      <x:c r="C410" s="240" t="s">
        <x:v>332</x:v>
      </x:c>
      <x:c r="D410" s="240"/>
      <x:c r="E410" s="240"/>
      <x:c r="F410" s="240" t="s">
        <x:v>344</x:v>
      </x:c>
      <x:c r="G410" s="241" t="s">
        <x:v>345</x:v>
      </x:c>
      <x:c r="H410" s="240">
        <x:v>1</x:v>
      </x:c>
      <x:c r="I410" s="240" t="s">
        <x:v>1089</x:v>
      </x:c>
      <x:c r="J410" s="284">
        <x:f t="shared" ref="J410:U410" si="217">+$I$398*J333</x:f>
        <x:v>88.219800000000006</x:v>
      </x:c>
      <x:c r="K410" s="285">
        <x:f t="shared" si="217"/>
        <x:v>88.219800000000006</x:v>
      </x:c>
      <x:c r="L410" s="285">
        <x:f t="shared" si="217"/>
        <x:v>88.219800000000006</x:v>
      </x:c>
      <x:c r="M410" s="285">
        <x:f t="shared" si="217"/>
        <x:v>88.219800000000006</x:v>
      </x:c>
      <x:c r="N410" s="285">
        <x:f t="shared" si="217"/>
        <x:v>88.219800000000006</x:v>
      </x:c>
      <x:c r="O410" s="285">
        <x:f t="shared" si="217"/>
        <x:v>88.219800000000006</x:v>
      </x:c>
      <x:c r="P410" s="285">
        <x:f t="shared" si="217"/>
        <x:v>88.219800000000006</x:v>
      </x:c>
      <x:c r="Q410" s="285">
        <x:f t="shared" si="217"/>
        <x:v>88.219800000000006</x:v>
      </x:c>
      <x:c r="R410" s="285">
        <x:f t="shared" si="217"/>
        <x:v>88.219800000000006</x:v>
      </x:c>
      <x:c r="S410" s="285">
        <x:f t="shared" si="217"/>
        <x:v>88.219800000000006</x:v>
      </x:c>
      <x:c r="T410" s="285">
        <x:f t="shared" si="217"/>
        <x:v>88.219800000000006</x:v>
      </x:c>
      <x:c r="U410" s="285">
        <x:f t="shared" si="217"/>
        <x:v>88.219800000000006</x:v>
      </x:c>
      <x:c r="V410" s="136"/>
      <x:c r="W410" s="1046" t="s">
        <x:v>339</x:v>
      </x:c>
    </x:row>
    <x:row r="411" spans="1:23" s="48" customFormat="1" ht="13.5">
      <x:c r="A411" s="58"/>
      <x:c r="B411" s="66" t="s">
        <x:v>1034</x:v>
      </x:c>
      <x:c r="C411" s="235" t="s">
        <x:v>332</x:v>
      </x:c>
      <x:c r="D411" s="235"/>
      <x:c r="E411" s="235"/>
      <x:c r="F411" s="235" t="s">
        <x:v>1090</x:v>
      </x:c>
      <x:c r="G411" s="236" t="s">
        <x:v>1091</x:v>
      </x:c>
      <x:c r="H411" s="235">
        <x:v>1</x:v>
      </x:c>
      <x:c r="I411" s="235" t="s">
        <x:v>1089</x:v>
      </x:c>
      <x:c r="J411" s="287">
        <x:f t="shared" ref="J411:U411" si="218">+$I$398*J334</x:f>
        <x:v>5833.38</x:v>
      </x:c>
      <x:c r="K411" s="282">
        <x:f t="shared" si="218"/>
        <x:v>5833.38</x:v>
      </x:c>
      <x:c r="L411" s="282">
        <x:f t="shared" si="218"/>
        <x:v>5833.38</x:v>
      </x:c>
      <x:c r="M411" s="282">
        <x:f t="shared" si="218"/>
        <x:v>5833.38</x:v>
      </x:c>
      <x:c r="N411" s="282">
        <x:f t="shared" si="218"/>
        <x:v>5833.38</x:v>
      </x:c>
      <x:c r="O411" s="282">
        <x:f t="shared" si="218"/>
        <x:v>5833.38</x:v>
      </x:c>
      <x:c r="P411" s="282">
        <x:f t="shared" si="218"/>
        <x:v>5833.38</x:v>
      </x:c>
      <x:c r="Q411" s="282">
        <x:f t="shared" si="218"/>
        <x:v>5833.38</x:v>
      </x:c>
      <x:c r="R411" s="282">
        <x:f t="shared" si="218"/>
        <x:v>5833.38</x:v>
      </x:c>
      <x:c r="S411" s="282">
        <x:f t="shared" si="218"/>
        <x:v>5833.38</x:v>
      </x:c>
      <x:c r="T411" s="282">
        <x:f t="shared" si="218"/>
        <x:v>5833.38</x:v>
      </x:c>
      <x:c r="U411" s="282">
        <x:f t="shared" si="218"/>
        <x:v>5833.38</x:v>
      </x:c>
      <x:c r="V411" s="133"/>
      <x:c r="W411" s="1046" t="s">
        <x:v>349</x:v>
      </x:c>
    </x:row>
    <x:row r="412" spans="1:23" s="48" customFormat="1" ht="13.5">
      <x:c r="A412" s="58"/>
      <x:c r="B412" s="70"/>
      <x:c r="C412" s="235" t="s">
        <x:v>332</x:v>
      </x:c>
      <x:c r="D412" s="235"/>
      <x:c r="E412" s="235"/>
      <x:c r="F412" s="235" t="s">
        <x:v>366</x:v>
      </x:c>
      <x:c r="G412" s="236" t="s">
        <x:v>1035</x:v>
      </x:c>
      <x:c r="H412" s="235">
        <x:v>1</x:v>
      </x:c>
      <x:c r="I412" s="235" t="s">
        <x:v>1089</x:v>
      </x:c>
      <x:c r="J412" s="287">
        <x:f t="shared" ref="J412:U412" si="219">+$I$398*J335</x:f>
        <x:v>1102.2681</x:v>
      </x:c>
      <x:c r="K412" s="282">
        <x:f t="shared" si="219"/>
        <x:v>1102.2681</x:v>
      </x:c>
      <x:c r="L412" s="282">
        <x:f t="shared" si="219"/>
        <x:v>1102.2681</x:v>
      </x:c>
      <x:c r="M412" s="282">
        <x:f t="shared" si="219"/>
        <x:v>1102.2681</x:v>
      </x:c>
      <x:c r="N412" s="282">
        <x:f t="shared" si="219"/>
        <x:v>1102.2681</x:v>
      </x:c>
      <x:c r="O412" s="282">
        <x:f t="shared" si="219"/>
        <x:v>1102.2681</x:v>
      </x:c>
      <x:c r="P412" s="282">
        <x:f t="shared" si="219"/>
        <x:v>1102.2681</x:v>
      </x:c>
      <x:c r="Q412" s="282">
        <x:f t="shared" si="219"/>
        <x:v>1102.2681</x:v>
      </x:c>
      <x:c r="R412" s="282">
        <x:f t="shared" si="219"/>
        <x:v>1102.2681</x:v>
      </x:c>
      <x:c r="S412" s="282">
        <x:f t="shared" si="219"/>
        <x:v>1102.2681</x:v>
      </x:c>
      <x:c r="T412" s="282">
        <x:f t="shared" si="219"/>
        <x:v>1102.2681</x:v>
      </x:c>
      <x:c r="U412" s="282">
        <x:f t="shared" si="219"/>
        <x:v>1102.2681</x:v>
      </x:c>
      <x:c r="V412" s="133"/>
      <x:c r="W412" s="1046"/>
    </x:row>
    <x:row r="413" spans="1:23" s="48" customFormat="1" ht="13.5">
      <x:c r="A413" s="58"/>
      <x:c r="B413" s="70"/>
      <x:c r="C413" s="240" t="s">
        <x:v>332</x:v>
      </x:c>
      <x:c r="D413" s="240"/>
      <x:c r="E413" s="240"/>
      <x:c r="F413" s="240" t="s">
        <x:v>351</x:v>
      </x:c>
      <x:c r="G413" s="241" t="s">
        <x:v>1036</x:v>
      </x:c>
      <x:c r="H413" s="240">
        <x:v>1</x:v>
      </x:c>
      <x:c r="I413" s="240" t="s">
        <x:v>1089</x:v>
      </x:c>
      <x:c r="J413" s="284">
        <x:f t="shared" ref="J413:U413" si="220">+$I$398*J336</x:f>
        <x:v>681.29880000000003</x:v>
      </x:c>
      <x:c r="K413" s="285">
        <x:f t="shared" si="220"/>
        <x:v>681.29880000000003</x:v>
      </x:c>
      <x:c r="L413" s="285">
        <x:f t="shared" si="220"/>
        <x:v>681.29880000000003</x:v>
      </x:c>
      <x:c r="M413" s="285">
        <x:f t="shared" si="220"/>
        <x:v>681.29880000000003</x:v>
      </x:c>
      <x:c r="N413" s="285">
        <x:f t="shared" si="220"/>
        <x:v>681.29880000000003</x:v>
      </x:c>
      <x:c r="O413" s="285">
        <x:f t="shared" si="220"/>
        <x:v>681.29880000000003</x:v>
      </x:c>
      <x:c r="P413" s="285">
        <x:f t="shared" si="220"/>
        <x:v>681.29880000000003</x:v>
      </x:c>
      <x:c r="Q413" s="285">
        <x:f t="shared" si="220"/>
        <x:v>681.29880000000003</x:v>
      </x:c>
      <x:c r="R413" s="285">
        <x:f t="shared" si="220"/>
        <x:v>681.29880000000003</x:v>
      </x:c>
      <x:c r="S413" s="285">
        <x:f t="shared" si="220"/>
        <x:v>681.29880000000003</x:v>
      </x:c>
      <x:c r="T413" s="285">
        <x:f t="shared" si="220"/>
        <x:v>681.29880000000003</x:v>
      </x:c>
      <x:c r="U413" s="285">
        <x:f t="shared" si="220"/>
        <x:v>681.29880000000003</x:v>
      </x:c>
      <x:c r="V413" s="136"/>
      <x:c r="W413" s="1046"/>
    </x:row>
    <x:row r="414" spans="1:23" s="48" customFormat="1" ht="13.5">
      <x:c r="A414" s="58"/>
      <x:c r="B414" s="70"/>
      <x:c r="C414" s="240" t="s">
        <x:v>332</x:v>
      </x:c>
      <x:c r="D414" s="240"/>
      <x:c r="E414" s="240"/>
      <x:c r="F414" s="240" t="s">
        <x:v>353</x:v>
      </x:c>
      <x:c r="G414" s="241" t="s">
        <x:v>1037</x:v>
      </x:c>
      <x:c r="H414" s="240">
        <x:v>3</x:v>
      </x:c>
      <x:c r="I414" s="240" t="s">
        <x:v>1089</x:v>
      </x:c>
      <x:c r="J414" s="284">
        <x:f t="shared" ref="J414:U414" si="221">+$I$398*J337</x:f>
        <x:v>631.13009999999997</x:v>
      </x:c>
      <x:c r="K414" s="285">
        <x:f t="shared" si="221"/>
        <x:v>631.13009999999997</x:v>
      </x:c>
      <x:c r="L414" s="285">
        <x:f t="shared" si="221"/>
        <x:v>631.13009999999997</x:v>
      </x:c>
      <x:c r="M414" s="285">
        <x:f t="shared" si="221"/>
        <x:v>631.13009999999997</x:v>
      </x:c>
      <x:c r="N414" s="285">
        <x:f t="shared" si="221"/>
        <x:v>631.13009999999997</x:v>
      </x:c>
      <x:c r="O414" s="285">
        <x:f t="shared" si="221"/>
        <x:v>631.13009999999997</x:v>
      </x:c>
      <x:c r="P414" s="285">
        <x:f t="shared" si="221"/>
        <x:v>631.13009999999997</x:v>
      </x:c>
      <x:c r="Q414" s="285">
        <x:f t="shared" si="221"/>
        <x:v>631.13009999999997</x:v>
      </x:c>
      <x:c r="R414" s="285">
        <x:f t="shared" si="221"/>
        <x:v>631.13009999999997</x:v>
      </x:c>
      <x:c r="S414" s="285">
        <x:f t="shared" si="221"/>
        <x:v>631.13009999999997</x:v>
      </x:c>
      <x:c r="T414" s="285">
        <x:f t="shared" si="221"/>
        <x:v>631.13009999999997</x:v>
      </x:c>
      <x:c r="U414" s="285">
        <x:f t="shared" si="221"/>
        <x:v>631.13009999999997</x:v>
      </x:c>
      <x:c r="V414" s="136"/>
      <x:c r="W414" s="1046"/>
    </x:row>
    <x:row r="415" spans="1:23" s="48" customFormat="1" ht="13.5">
      <x:c r="A415" s="58"/>
      <x:c r="B415" s="70"/>
      <x:c r="C415" s="240" t="s">
        <x:v>332</x:v>
      </x:c>
      <x:c r="D415" s="240"/>
      <x:c r="E415" s="240"/>
      <x:c r="F415" s="240" t="s">
        <x:v>354</x:v>
      </x:c>
      <x:c r="G415" s="241" t="s">
        <x:v>1038</x:v>
      </x:c>
      <x:c r="H415" s="240">
        <x:v>1</x:v>
      </x:c>
      <x:c r="I415" s="240" t="s">
        <x:v>1089</x:v>
      </x:c>
      <x:c r="J415" s="284">
        <x:f t="shared" ref="J415:U415" si="222">+$I$398*J338</x:f>
        <x:v>768.5954999999999</x:v>
      </x:c>
      <x:c r="K415" s="285">
        <x:f t="shared" si="222"/>
        <x:v>768.5954999999999</x:v>
      </x:c>
      <x:c r="L415" s="285">
        <x:f t="shared" si="222"/>
        <x:v>768.5954999999999</x:v>
      </x:c>
      <x:c r="M415" s="285">
        <x:f t="shared" si="222"/>
        <x:v>768.5954999999999</x:v>
      </x:c>
      <x:c r="N415" s="285">
        <x:f t="shared" si="222"/>
        <x:v>768.5954999999999</x:v>
      </x:c>
      <x:c r="O415" s="285">
        <x:f t="shared" si="222"/>
        <x:v>768.5954999999999</x:v>
      </x:c>
      <x:c r="P415" s="285">
        <x:f t="shared" si="222"/>
        <x:v>768.5954999999999</x:v>
      </x:c>
      <x:c r="Q415" s="285">
        <x:f t="shared" si="222"/>
        <x:v>768.5954999999999</x:v>
      </x:c>
      <x:c r="R415" s="285">
        <x:f t="shared" si="222"/>
        <x:v>768.5954999999999</x:v>
      </x:c>
      <x:c r="S415" s="285">
        <x:f t="shared" si="222"/>
        <x:v>768.5954999999999</x:v>
      </x:c>
      <x:c r="T415" s="285">
        <x:f t="shared" si="222"/>
        <x:v>768.5954999999999</x:v>
      </x:c>
      <x:c r="U415" s="285">
        <x:f t="shared" si="222"/>
        <x:v>768.5954999999999</x:v>
      </x:c>
      <x:c r="V415" s="134"/>
      <x:c r="W415" s="1046"/>
    </x:row>
    <x:row r="416" spans="1:23" s="48" customFormat="1" ht="13.5">
      <x:c r="A416" s="58"/>
      <x:c r="B416" s="70"/>
      <x:c r="C416" s="240" t="s">
        <x:v>332</x:v>
      </x:c>
      <x:c r="D416" s="240"/>
      <x:c r="E416" s="240"/>
      <x:c r="F416" s="240" t="s">
        <x:v>355</x:v>
      </x:c>
      <x:c r="G416" s="241" t="s">
        <x:v>1039</x:v>
      </x:c>
      <x:c r="H416" s="240">
        <x:v>1</x:v>
      </x:c>
      <x:c r="I416" s="240" t="s">
        <x:v>1089</x:v>
      </x:c>
      <x:c r="J416" s="284">
        <x:f t="shared" ref="J416:U416" si="223">+$I$398*J339</x:f>
        <x:v>500.99339999999995</x:v>
      </x:c>
      <x:c r="K416" s="285">
        <x:f t="shared" si="223"/>
        <x:v>500.99339999999995</x:v>
      </x:c>
      <x:c r="L416" s="285">
        <x:f t="shared" si="223"/>
        <x:v>500.99339999999995</x:v>
      </x:c>
      <x:c r="M416" s="285">
        <x:f t="shared" si="223"/>
        <x:v>500.99339999999995</x:v>
      </x:c>
      <x:c r="N416" s="285">
        <x:f t="shared" si="223"/>
        <x:v>500.99339999999995</x:v>
      </x:c>
      <x:c r="O416" s="285">
        <x:f t="shared" si="223"/>
        <x:v>500.99339999999995</x:v>
      </x:c>
      <x:c r="P416" s="285">
        <x:f t="shared" si="223"/>
        <x:v>500.99339999999995</x:v>
      </x:c>
      <x:c r="Q416" s="285">
        <x:f t="shared" si="223"/>
        <x:v>500.99339999999995</x:v>
      </x:c>
      <x:c r="R416" s="285">
        <x:f t="shared" si="223"/>
        <x:v>500.99339999999995</x:v>
      </x:c>
      <x:c r="S416" s="285">
        <x:f t="shared" si="223"/>
        <x:v>500.99339999999995</x:v>
      </x:c>
      <x:c r="T416" s="285">
        <x:f t="shared" si="223"/>
        <x:v>500.99339999999995</x:v>
      </x:c>
      <x:c r="U416" s="285">
        <x:f t="shared" si="223"/>
        <x:v>500.99339999999995</x:v>
      </x:c>
      <x:c r="V416" s="134"/>
      <x:c r="W416" s="1046"/>
    </x:row>
    <x:row r="417" spans="1:23" s="48" customFormat="1" ht="13.5">
      <x:c r="A417" s="58"/>
      <x:c r="B417" s="70"/>
      <x:c r="C417" s="240" t="s">
        <x:v>332</x:v>
      </x:c>
      <x:c r="D417" s="240"/>
      <x:c r="E417" s="240"/>
      <x:c r="F417" s="240" t="s">
        <x:v>356</x:v>
      </x:c>
      <x:c r="G417" s="241" t="s">
        <x:v>1040</x:v>
      </x:c>
      <x:c r="H417" s="240">
        <x:v>1</x:v>
      </x:c>
      <x:c r="I417" s="240" t="s">
        <x:v>1089</x:v>
      </x:c>
      <x:c r="J417" s="284">
        <x:f t="shared" ref="J417:U417" si="224">+$I$398*J340</x:f>
        <x:v>706.87530000000004</x:v>
      </x:c>
      <x:c r="K417" s="285">
        <x:f t="shared" si="224"/>
        <x:v>706.87530000000004</x:v>
      </x:c>
      <x:c r="L417" s="285">
        <x:f t="shared" si="224"/>
        <x:v>706.87530000000004</x:v>
      </x:c>
      <x:c r="M417" s="285">
        <x:f t="shared" si="224"/>
        <x:v>706.87530000000004</x:v>
      </x:c>
      <x:c r="N417" s="285">
        <x:f t="shared" si="224"/>
        <x:v>706.87530000000004</x:v>
      </x:c>
      <x:c r="O417" s="285">
        <x:f t="shared" si="224"/>
        <x:v>706.87530000000004</x:v>
      </x:c>
      <x:c r="P417" s="285">
        <x:f t="shared" si="224"/>
        <x:v>706.87530000000004</x:v>
      </x:c>
      <x:c r="Q417" s="285">
        <x:f t="shared" si="224"/>
        <x:v>706.87530000000004</x:v>
      </x:c>
      <x:c r="R417" s="285">
        <x:f t="shared" si="224"/>
        <x:v>706.87530000000004</x:v>
      </x:c>
      <x:c r="S417" s="285">
        <x:f t="shared" si="224"/>
        <x:v>706.87530000000004</x:v>
      </x:c>
      <x:c r="T417" s="285">
        <x:f t="shared" si="224"/>
        <x:v>706.87530000000004</x:v>
      </x:c>
      <x:c r="U417" s="285">
        <x:f t="shared" si="224"/>
        <x:v>706.87530000000004</x:v>
      </x:c>
      <x:c r="V417" s="134"/>
      <x:c r="W417" s="1046"/>
    </x:row>
    <x:row r="418" spans="1:23" s="48" customFormat="1" ht="13.5">
      <x:c r="A418" s="58"/>
      <x:c r="B418" s="70"/>
      <x:c r="C418" s="240" t="s">
        <x:v>332</x:v>
      </x:c>
      <x:c r="D418" s="235"/>
      <x:c r="E418" s="235"/>
      <x:c r="F418" s="235" t="s">
        <x:v>357</x:v>
      </x:c>
      <x:c r="G418" s="236" t="s">
        <x:v>1041</x:v>
      </x:c>
      <x:c r="H418" s="235">
        <x:v>1</x:v>
      </x:c>
      <x:c r="I418" s="235" t="s">
        <x:v>1089</x:v>
      </x:c>
      <x:c r="J418" s="284">
        <x:f t="shared" ref="J418:U418" si="225">+$I$398*J341</x:f>
        <x:v>361.34010000000001</x:v>
      </x:c>
      <x:c r="K418" s="285">
        <x:f t="shared" si="225"/>
        <x:v>361.34010000000001</x:v>
      </x:c>
      <x:c r="L418" s="285">
        <x:f t="shared" si="225"/>
        <x:v>361.34010000000001</x:v>
      </x:c>
      <x:c r="M418" s="285">
        <x:f t="shared" si="225"/>
        <x:v>361.34010000000001</x:v>
      </x:c>
      <x:c r="N418" s="285">
        <x:f t="shared" si="225"/>
        <x:v>361.34010000000001</x:v>
      </x:c>
      <x:c r="O418" s="285">
        <x:f t="shared" si="225"/>
        <x:v>361.34010000000001</x:v>
      </x:c>
      <x:c r="P418" s="285">
        <x:f t="shared" si="225"/>
        <x:v>361.34010000000001</x:v>
      </x:c>
      <x:c r="Q418" s="285">
        <x:f t="shared" si="225"/>
        <x:v>361.34010000000001</x:v>
      </x:c>
      <x:c r="R418" s="285">
        <x:f t="shared" si="225"/>
        <x:v>361.34010000000001</x:v>
      </x:c>
      <x:c r="S418" s="285">
        <x:f t="shared" si="225"/>
        <x:v>361.34010000000001</x:v>
      </x:c>
      <x:c r="T418" s="285">
        <x:f t="shared" si="225"/>
        <x:v>361.34010000000001</x:v>
      </x:c>
      <x:c r="U418" s="285">
        <x:f t="shared" si="225"/>
        <x:v>361.34010000000001</x:v>
      </x:c>
      <x:c r="V418" s="134"/>
      <x:c r="W418" s="1046"/>
    </x:row>
    <x:row r="419" spans="1:23" s="48" customFormat="1" ht="13.5">
      <x:c r="A419" s="58"/>
      <x:c r="B419" s="70"/>
      <x:c r="C419" s="240" t="s">
        <x:v>332</x:v>
      </x:c>
      <x:c r="D419" s="61"/>
      <x:c r="E419" s="71"/>
      <x:c r="F419" s="72" t="s">
        <x:v>358</x:v>
      </x:c>
      <x:c r="G419" s="62" t="s">
        <x:v>359</x:v>
      </x:c>
      <x:c r="H419" s="73">
        <x:v>1</x:v>
      </x:c>
      <x:c r="I419" s="240" t="s">
        <x:v>1089</x:v>
      </x:c>
      <x:c r="J419" s="284">
        <x:f t="shared" ref="J419:U419" si="226">+$I$398*J342</x:f>
        <x:v>676.41300000000001</x:v>
      </x:c>
      <x:c r="K419" s="285">
        <x:f t="shared" si="226"/>
        <x:v>676.41300000000001</x:v>
      </x:c>
      <x:c r="L419" s="285">
        <x:f t="shared" si="226"/>
        <x:v>676.41300000000001</x:v>
      </x:c>
      <x:c r="M419" s="285">
        <x:f t="shared" si="226"/>
        <x:v>676.41300000000001</x:v>
      </x:c>
      <x:c r="N419" s="285">
        <x:f t="shared" si="226"/>
        <x:v>676.41300000000001</x:v>
      </x:c>
      <x:c r="O419" s="285">
        <x:f t="shared" si="226"/>
        <x:v>676.41300000000001</x:v>
      </x:c>
      <x:c r="P419" s="285">
        <x:f t="shared" si="226"/>
        <x:v>676.41300000000001</x:v>
      </x:c>
      <x:c r="Q419" s="285">
        <x:f t="shared" si="226"/>
        <x:v>676.41300000000001</x:v>
      </x:c>
      <x:c r="R419" s="285">
        <x:f t="shared" si="226"/>
        <x:v>676.41300000000001</x:v>
      </x:c>
      <x:c r="S419" s="285">
        <x:f t="shared" si="226"/>
        <x:v>676.41300000000001</x:v>
      </x:c>
      <x:c r="T419" s="285">
        <x:f t="shared" si="226"/>
        <x:v>676.41300000000001</x:v>
      </x:c>
      <x:c r="U419" s="285">
        <x:f t="shared" si="226"/>
        <x:v>676.41300000000001</x:v>
      </x:c>
      <x:c r="V419" s="137"/>
      <x:c r="W419" s="1046"/>
    </x:row>
    <x:row r="420" spans="1:23" s="48" customFormat="1" ht="13.5">
      <x:c r="A420" s="58"/>
      <x:c r="B420" s="70"/>
      <x:c r="C420" s="240" t="s">
        <x:v>332</x:v>
      </x:c>
      <x:c r="D420" s="240"/>
      <x:c r="E420" s="244"/>
      <x:c r="F420" s="245" t="s">
        <x:v>360</x:v>
      </x:c>
      <x:c r="G420" s="241" t="s">
        <x:v>1042</x:v>
      </x:c>
      <x:c r="H420" s="246">
        <x:v>1</x:v>
      </x:c>
      <x:c r="I420" s="240" t="s">
        <x:v>1089</x:v>
      </x:c>
      <x:c r="J420" s="284">
        <x:f t="shared" ref="J420:U420" si="227">+$I$398*J343</x:f>
        <x:v>705.15659999999991</x:v>
      </x:c>
      <x:c r="K420" s="285">
        <x:f t="shared" si="227"/>
        <x:v>705.15659999999991</x:v>
      </x:c>
      <x:c r="L420" s="285">
        <x:f t="shared" si="227"/>
        <x:v>705.15659999999991</x:v>
      </x:c>
      <x:c r="M420" s="285">
        <x:f t="shared" si="227"/>
        <x:v>705.15659999999991</x:v>
      </x:c>
      <x:c r="N420" s="285">
        <x:f t="shared" si="227"/>
        <x:v>705.15659999999991</x:v>
      </x:c>
      <x:c r="O420" s="285">
        <x:f t="shared" si="227"/>
        <x:v>705.15659999999991</x:v>
      </x:c>
      <x:c r="P420" s="285">
        <x:f t="shared" si="227"/>
        <x:v>705.15659999999991</x:v>
      </x:c>
      <x:c r="Q420" s="285">
        <x:f t="shared" si="227"/>
        <x:v>705.15659999999991</x:v>
      </x:c>
      <x:c r="R420" s="285">
        <x:f t="shared" si="227"/>
        <x:v>705.15659999999991</x:v>
      </x:c>
      <x:c r="S420" s="285">
        <x:f t="shared" si="227"/>
        <x:v>705.15659999999991</x:v>
      </x:c>
      <x:c r="T420" s="285">
        <x:f t="shared" si="227"/>
        <x:v>705.15659999999991</x:v>
      </x:c>
      <x:c r="U420" s="285">
        <x:f t="shared" si="227"/>
        <x:v>705.15659999999991</x:v>
      </x:c>
      <x:c r="V420" s="136"/>
      <x:c r="W420" s="1046"/>
    </x:row>
    <x:row r="421" spans="1:23" s="48" customFormat="1" ht="13.5">
      <x:c r="A421" s="58"/>
      <x:c r="B421" s="70"/>
      <x:c r="C421" s="240" t="s">
        <x:v>332</x:v>
      </x:c>
      <x:c r="D421" s="240"/>
      <x:c r="E421" s="240"/>
      <x:c r="F421" s="240" t="s">
        <x:v>361</x:v>
      </x:c>
      <x:c r="G421" s="241" t="s">
        <x:v>1043</x:v>
      </x:c>
      <x:c r="H421" s="240">
        <x:v>1</x:v>
      </x:c>
      <x:c r="I421" s="240" t="s">
        <x:v>1089</x:v>
      </x:c>
      <x:c r="J421" s="284">
        <x:f t="shared" ref="J421:U421" si="228">+$I$398*J344</x:f>
        <x:v>644.44110000000001</x:v>
      </x:c>
      <x:c r="K421" s="285">
        <x:f t="shared" si="228"/>
        <x:v>644.44110000000001</x:v>
      </x:c>
      <x:c r="L421" s="285">
        <x:f t="shared" si="228"/>
        <x:v>644.44110000000001</x:v>
      </x:c>
      <x:c r="M421" s="285">
        <x:f t="shared" si="228"/>
        <x:v>644.44110000000001</x:v>
      </x:c>
      <x:c r="N421" s="285">
        <x:f t="shared" si="228"/>
        <x:v>644.44110000000001</x:v>
      </x:c>
      <x:c r="O421" s="285">
        <x:f t="shared" si="228"/>
        <x:v>644.44110000000001</x:v>
      </x:c>
      <x:c r="P421" s="285">
        <x:f t="shared" si="228"/>
        <x:v>644.44110000000001</x:v>
      </x:c>
      <x:c r="Q421" s="285">
        <x:f t="shared" si="228"/>
        <x:v>644.44110000000001</x:v>
      </x:c>
      <x:c r="R421" s="285">
        <x:f t="shared" si="228"/>
        <x:v>644.44110000000001</x:v>
      </x:c>
      <x:c r="S421" s="285">
        <x:f t="shared" si="228"/>
        <x:v>644.44110000000001</x:v>
      </x:c>
      <x:c r="T421" s="285">
        <x:f t="shared" si="228"/>
        <x:v>644.44110000000001</x:v>
      </x:c>
      <x:c r="U421" s="285">
        <x:f t="shared" si="228"/>
        <x:v>644.44110000000001</x:v>
      </x:c>
      <x:c r="V421" s="136"/>
      <x:c r="W421" s="1046"/>
    </x:row>
    <x:row r="422" spans="1:23" s="48" customFormat="1" ht="13.5">
      <x:c r="A422" s="58"/>
      <x:c r="B422" s="70"/>
      <x:c r="C422" s="240" t="s">
        <x:v>332</x:v>
      </x:c>
      <x:c r="D422" s="235"/>
      <x:c r="E422" s="235"/>
      <x:c r="F422" s="235" t="s">
        <x:v>362</x:v>
      </x:c>
      <x:c r="G422" s="236" t="s">
        <x:v>1044</x:v>
      </x:c>
      <x:c r="H422" s="235">
        <x:v>1</x:v>
      </x:c>
      <x:c r="I422" s="235" t="s">
        <x:v>1089</x:v>
      </x:c>
      <x:c r="J422" s="284">
        <x:f t="shared" ref="J422:U422" si="229">+$I$398*J345</x:f>
        <x:v>683.54279999999994</x:v>
      </x:c>
      <x:c r="K422" s="284">
        <x:f t="shared" si="229"/>
        <x:v>683.54279999999994</x:v>
      </x:c>
      <x:c r="L422" s="284">
        <x:f t="shared" si="229"/>
        <x:v>683.54279999999994</x:v>
      </x:c>
      <x:c r="M422" s="284">
        <x:f t="shared" si="229"/>
        <x:v>683.54279999999994</x:v>
      </x:c>
      <x:c r="N422" s="284">
        <x:f t="shared" si="229"/>
        <x:v>683.54279999999994</x:v>
      </x:c>
      <x:c r="O422" s="284">
        <x:f t="shared" si="229"/>
        <x:v>683.54279999999994</x:v>
      </x:c>
      <x:c r="P422" s="284">
        <x:f t="shared" si="229"/>
        <x:v>683.54279999999994</x:v>
      </x:c>
      <x:c r="Q422" s="284">
        <x:f t="shared" si="229"/>
        <x:v>683.54279999999994</x:v>
      </x:c>
      <x:c r="R422" s="284">
        <x:f t="shared" si="229"/>
        <x:v>683.54279999999994</x:v>
      </x:c>
      <x:c r="S422" s="284">
        <x:f t="shared" si="229"/>
        <x:v>683.54279999999994</x:v>
      </x:c>
      <x:c r="T422" s="284">
        <x:f t="shared" si="229"/>
        <x:v>683.54279999999994</x:v>
      </x:c>
      <x:c r="U422" s="284">
        <x:f t="shared" si="229"/>
        <x:v>683.54279999999994</x:v>
      </x:c>
      <x:c r="V422" s="134"/>
      <x:c r="W422" s="1046"/>
    </x:row>
    <x:row r="423" spans="1:23" s="48" customFormat="1" ht="13.5">
      <x:c r="A423" s="58"/>
      <x:c r="B423" s="75"/>
      <x:c r="C423" s="240" t="s">
        <x:v>332</x:v>
      </x:c>
      <x:c r="D423" s="240"/>
      <x:c r="E423" s="240"/>
      <x:c r="F423" s="240" t="s">
        <x:v>351</x:v>
      </x:c>
      <x:c r="G423" s="236" t="s">
        <x:v>352</x:v>
      </x:c>
      <x:c r="H423" s="235">
        <x:v>1</x:v>
      </x:c>
      <x:c r="I423" s="235" t="s">
        <x:v>1089</x:v>
      </x:c>
      <x:c r="J423" s="284">
        <x:f t="shared" ref="J423:U423" si="230">+$I$398*J346</x:f>
        <x:v>452.56890000000004</x:v>
      </x:c>
      <x:c r="K423" s="284">
        <x:f t="shared" si="230"/>
        <x:v>452.56890000000004</x:v>
      </x:c>
      <x:c r="L423" s="284">
        <x:f t="shared" si="230"/>
        <x:v>452.56890000000004</x:v>
      </x:c>
      <x:c r="M423" s="284">
        <x:f t="shared" si="230"/>
        <x:v>452.56890000000004</x:v>
      </x:c>
      <x:c r="N423" s="284">
        <x:f t="shared" si="230"/>
        <x:v>452.56890000000004</x:v>
      </x:c>
      <x:c r="O423" s="284">
        <x:f t="shared" si="230"/>
        <x:v>452.56890000000004</x:v>
      </x:c>
      <x:c r="P423" s="284">
        <x:f t="shared" si="230"/>
        <x:v>452.56890000000004</x:v>
      </x:c>
      <x:c r="Q423" s="284">
        <x:f t="shared" si="230"/>
        <x:v>452.56890000000004</x:v>
      </x:c>
      <x:c r="R423" s="284">
        <x:f t="shared" si="230"/>
        <x:v>452.56890000000004</x:v>
      </x:c>
      <x:c r="S423" s="284">
        <x:f t="shared" si="230"/>
        <x:v>452.56890000000004</x:v>
      </x:c>
      <x:c r="T423" s="284">
        <x:f t="shared" si="230"/>
        <x:v>452.56890000000004</x:v>
      </x:c>
      <x:c r="U423" s="284">
        <x:f t="shared" si="230"/>
        <x:v>452.56890000000004</x:v>
      </x:c>
      <x:c r="V423" s="134"/>
      <x:c r="W423" s="1046"/>
    </x:row>
    <x:row r="424" spans="1:23" s="48" customFormat="1" ht="13.5">
      <x:c r="A424" s="58"/>
      <x:c r="B424" s="66" t="s">
        <x:v>363</x:v>
      </x:c>
      <x:c r="C424" s="235" t="s">
        <x:v>332</x:v>
      </x:c>
      <x:c r="D424" s="235"/>
      <x:c r="E424" s="235"/>
      <x:c r="F424" s="235" t="s">
        <x:v>364</x:v>
      </x:c>
      <x:c r="G424" s="236" t="s">
        <x:v>1045</x:v>
      </x:c>
      <x:c r="H424" s="235">
        <x:v>1</x:v>
      </x:c>
      <x:c r="I424" s="235" t="s">
        <x:v>1089</x:v>
      </x:c>
      <x:c r="J424" s="287">
        <x:f t="shared" ref="J424:U424" si="231">+$I$398*J347</x:f>
        <x:v>6462.4139999999998</x:v>
      </x:c>
      <x:c r="K424" s="282">
        <x:f t="shared" si="231"/>
        <x:v>6462.4139999999998</x:v>
      </x:c>
      <x:c r="L424" s="282">
        <x:f t="shared" si="231"/>
        <x:v>6462.4139999999998</x:v>
      </x:c>
      <x:c r="M424" s="282">
        <x:f t="shared" si="231"/>
        <x:v>6462.4139999999998</x:v>
      </x:c>
      <x:c r="N424" s="282">
        <x:f t="shared" si="231"/>
        <x:v>6462.4139999999998</x:v>
      </x:c>
      <x:c r="O424" s="282">
        <x:f t="shared" si="231"/>
        <x:v>6462.4139999999998</x:v>
      </x:c>
      <x:c r="P424" s="282">
        <x:f t="shared" si="231"/>
        <x:v>6462.4139999999998</x:v>
      </x:c>
      <x:c r="Q424" s="282">
        <x:f t="shared" si="231"/>
        <x:v>6462.4139999999998</x:v>
      </x:c>
      <x:c r="R424" s="282">
        <x:f t="shared" si="231"/>
        <x:v>6462.4139999999998</x:v>
      </x:c>
      <x:c r="S424" s="282">
        <x:f t="shared" si="231"/>
        <x:v>6462.4139999999998</x:v>
      </x:c>
      <x:c r="T424" s="282">
        <x:f t="shared" si="231"/>
        <x:v>6462.4139999999998</x:v>
      </x:c>
      <x:c r="U424" s="282">
        <x:f t="shared" si="231"/>
        <x:v>6462.4139999999998</x:v>
      </x:c>
      <x:c r="V424" s="133"/>
      <x:c r="W424" s="1046" t="s">
        <x:v>365</x:v>
      </x:c>
    </x:row>
    <x:row r="425" spans="1:23" s="48" customFormat="1" ht="13.5">
      <x:c r="A425" s="58"/>
      <x:c r="B425" s="70"/>
      <x:c r="C425" s="235" t="s">
        <x:v>332</x:v>
      </x:c>
      <x:c r="D425" s="235"/>
      <x:c r="E425" s="235"/>
      <x:c r="F425" s="235" t="s">
        <x:v>366</x:v>
      </x:c>
      <x:c r="G425" s="236" t="s">
        <x:v>1035</x:v>
      </x:c>
      <x:c r="H425" s="235">
        <x:v>1</x:v>
      </x:c>
      <x:c r="I425" s="235" t="s">
        <x:v>1089</x:v>
      </x:c>
      <x:c r="J425" s="287">
        <x:f t="shared" ref="J425:U425" si="232">+$I$398*J348</x:f>
        <x:v>1102.2681</x:v>
      </x:c>
      <x:c r="K425" s="282">
        <x:f t="shared" si="232"/>
        <x:v>1102.2681</x:v>
      </x:c>
      <x:c r="L425" s="282">
        <x:f t="shared" si="232"/>
        <x:v>1102.2681</x:v>
      </x:c>
      <x:c r="M425" s="282">
        <x:f t="shared" si="232"/>
        <x:v>1102.2681</x:v>
      </x:c>
      <x:c r="N425" s="282">
        <x:f t="shared" si="232"/>
        <x:v>1102.2681</x:v>
      </x:c>
      <x:c r="O425" s="282">
        <x:f t="shared" si="232"/>
        <x:v>1102.2681</x:v>
      </x:c>
      <x:c r="P425" s="282">
        <x:f t="shared" si="232"/>
        <x:v>1102.2681</x:v>
      </x:c>
      <x:c r="Q425" s="282">
        <x:f t="shared" si="232"/>
        <x:v>1102.2681</x:v>
      </x:c>
      <x:c r="R425" s="282">
        <x:f t="shared" si="232"/>
        <x:v>1102.2681</x:v>
      </x:c>
      <x:c r="S425" s="282">
        <x:f t="shared" si="232"/>
        <x:v>1102.2681</x:v>
      </x:c>
      <x:c r="T425" s="282">
        <x:f t="shared" si="232"/>
        <x:v>1102.2681</x:v>
      </x:c>
      <x:c r="U425" s="282">
        <x:f t="shared" si="232"/>
        <x:v>1102.2681</x:v>
      </x:c>
      <x:c r="V425" s="133"/>
      <x:c r="W425" s="1046"/>
    </x:row>
    <x:row r="426" spans="1:23" s="48" customFormat="1" ht="13.5">
      <x:c r="A426" s="58"/>
      <x:c r="B426" s="70"/>
      <x:c r="C426" s="240" t="s">
        <x:v>332</x:v>
      </x:c>
      <x:c r="D426" s="240"/>
      <x:c r="E426" s="240"/>
      <x:c r="F426" s="240" t="s">
        <x:v>351</x:v>
      </x:c>
      <x:c r="G426" s="241" t="s">
        <x:v>1036</x:v>
      </x:c>
      <x:c r="H426" s="240">
        <x:v>1</x:v>
      </x:c>
      <x:c r="I426" s="240" t="s">
        <x:v>1089</x:v>
      </x:c>
      <x:c r="J426" s="284">
        <x:f t="shared" ref="J426:U426" si="233">+$I$398*J349</x:f>
        <x:v>681.29880000000003</x:v>
      </x:c>
      <x:c r="K426" s="285">
        <x:f t="shared" si="233"/>
        <x:v>681.29880000000003</x:v>
      </x:c>
      <x:c r="L426" s="285">
        <x:f t="shared" si="233"/>
        <x:v>681.29880000000003</x:v>
      </x:c>
      <x:c r="M426" s="285">
        <x:f t="shared" si="233"/>
        <x:v>681.29880000000003</x:v>
      </x:c>
      <x:c r="N426" s="285">
        <x:f t="shared" si="233"/>
        <x:v>681.29880000000003</x:v>
      </x:c>
      <x:c r="O426" s="285">
        <x:f t="shared" si="233"/>
        <x:v>681.29880000000003</x:v>
      </x:c>
      <x:c r="P426" s="285">
        <x:f t="shared" si="233"/>
        <x:v>681.29880000000003</x:v>
      </x:c>
      <x:c r="Q426" s="285">
        <x:f t="shared" si="233"/>
        <x:v>681.29880000000003</x:v>
      </x:c>
      <x:c r="R426" s="285">
        <x:f t="shared" si="233"/>
        <x:v>681.29880000000003</x:v>
      </x:c>
      <x:c r="S426" s="285">
        <x:f t="shared" si="233"/>
        <x:v>681.29880000000003</x:v>
      </x:c>
      <x:c r="T426" s="285">
        <x:f t="shared" si="233"/>
        <x:v>681.29880000000003</x:v>
      </x:c>
      <x:c r="U426" s="285">
        <x:f t="shared" si="233"/>
        <x:v>681.29880000000003</x:v>
      </x:c>
      <x:c r="V426" s="136"/>
      <x:c r="W426" s="1046"/>
    </x:row>
    <x:row r="427" spans="1:23" s="48" customFormat="1" ht="13.5">
      <x:c r="A427" s="58"/>
      <x:c r="B427" s="70"/>
      <x:c r="C427" s="240" t="s">
        <x:v>332</x:v>
      </x:c>
      <x:c r="D427" s="240"/>
      <x:c r="E427" s="240"/>
      <x:c r="F427" s="240" t="s">
        <x:v>353</x:v>
      </x:c>
      <x:c r="G427" s="241" t="s">
        <x:v>1037</x:v>
      </x:c>
      <x:c r="H427" s="240">
        <x:v>3</x:v>
      </x:c>
      <x:c r="I427" s="240" t="s">
        <x:v>1089</x:v>
      </x:c>
      <x:c r="J427" s="284">
        <x:f t="shared" ref="J427:U427" si="234">+$I$398*J350</x:f>
        <x:v>631.13009999999997</x:v>
      </x:c>
      <x:c r="K427" s="285">
        <x:f t="shared" si="234"/>
        <x:v>631.13009999999997</x:v>
      </x:c>
      <x:c r="L427" s="285">
        <x:f t="shared" si="234"/>
        <x:v>631.13009999999997</x:v>
      </x:c>
      <x:c r="M427" s="285">
        <x:f t="shared" si="234"/>
        <x:v>631.13009999999997</x:v>
      </x:c>
      <x:c r="N427" s="285">
        <x:f t="shared" si="234"/>
        <x:v>631.13009999999997</x:v>
      </x:c>
      <x:c r="O427" s="285">
        <x:f t="shared" si="234"/>
        <x:v>631.13009999999997</x:v>
      </x:c>
      <x:c r="P427" s="285">
        <x:f t="shared" si="234"/>
        <x:v>631.13009999999997</x:v>
      </x:c>
      <x:c r="Q427" s="285">
        <x:f t="shared" si="234"/>
        <x:v>631.13009999999997</x:v>
      </x:c>
      <x:c r="R427" s="285">
        <x:f t="shared" si="234"/>
        <x:v>631.13009999999997</x:v>
      </x:c>
      <x:c r="S427" s="285">
        <x:f t="shared" si="234"/>
        <x:v>631.13009999999997</x:v>
      </x:c>
      <x:c r="T427" s="285">
        <x:f t="shared" si="234"/>
        <x:v>631.13009999999997</x:v>
      </x:c>
      <x:c r="U427" s="285">
        <x:f t="shared" si="234"/>
        <x:v>631.13009999999997</x:v>
      </x:c>
      <x:c r="V427" s="136"/>
      <x:c r="W427" s="1046"/>
    </x:row>
    <x:row r="428" spans="1:23" s="48" customFormat="1" ht="13.5">
      <x:c r="A428" s="58"/>
      <x:c r="B428" s="70"/>
      <x:c r="C428" s="240" t="s">
        <x:v>332</x:v>
      </x:c>
      <x:c r="D428" s="240"/>
      <x:c r="E428" s="240"/>
      <x:c r="F428" s="240" t="s">
        <x:v>354</x:v>
      </x:c>
      <x:c r="G428" s="241" t="s">
        <x:v>1038</x:v>
      </x:c>
      <x:c r="H428" s="240">
        <x:v>1</x:v>
      </x:c>
      <x:c r="I428" s="240" t="s">
        <x:v>1089</x:v>
      </x:c>
      <x:c r="J428" s="284">
        <x:f t="shared" ref="J428:U428" si="235">+$I$398*J351</x:f>
        <x:v>768.5954999999999</x:v>
      </x:c>
      <x:c r="K428" s="285">
        <x:f t="shared" si="235"/>
        <x:v>768.5954999999999</x:v>
      </x:c>
      <x:c r="L428" s="285">
        <x:f t="shared" si="235"/>
        <x:v>768.5954999999999</x:v>
      </x:c>
      <x:c r="M428" s="285">
        <x:f t="shared" si="235"/>
        <x:v>768.5954999999999</x:v>
      </x:c>
      <x:c r="N428" s="285">
        <x:f t="shared" si="235"/>
        <x:v>768.5954999999999</x:v>
      </x:c>
      <x:c r="O428" s="285">
        <x:f t="shared" si="235"/>
        <x:v>768.5954999999999</x:v>
      </x:c>
      <x:c r="P428" s="285">
        <x:f t="shared" si="235"/>
        <x:v>768.5954999999999</x:v>
      </x:c>
      <x:c r="Q428" s="285">
        <x:f t="shared" si="235"/>
        <x:v>768.5954999999999</x:v>
      </x:c>
      <x:c r="R428" s="285">
        <x:f t="shared" si="235"/>
        <x:v>768.5954999999999</x:v>
      </x:c>
      <x:c r="S428" s="285">
        <x:f t="shared" si="235"/>
        <x:v>768.5954999999999</x:v>
      </x:c>
      <x:c r="T428" s="285">
        <x:f t="shared" si="235"/>
        <x:v>768.5954999999999</x:v>
      </x:c>
      <x:c r="U428" s="285">
        <x:f t="shared" si="235"/>
        <x:v>768.5954999999999</x:v>
      </x:c>
      <x:c r="V428" s="134"/>
      <x:c r="W428" s="1046"/>
    </x:row>
    <x:row r="429" spans="1:23" s="48" customFormat="1" ht="13.5">
      <x:c r="A429" s="58"/>
      <x:c r="B429" s="70"/>
      <x:c r="C429" s="240" t="s">
        <x:v>332</x:v>
      </x:c>
      <x:c r="D429" s="240"/>
      <x:c r="E429" s="240"/>
      <x:c r="F429" s="240" t="s">
        <x:v>355</x:v>
      </x:c>
      <x:c r="G429" s="241" t="s">
        <x:v>1039</x:v>
      </x:c>
      <x:c r="H429" s="240">
        <x:v>1</x:v>
      </x:c>
      <x:c r="I429" s="240" t="s">
        <x:v>1089</x:v>
      </x:c>
      <x:c r="J429" s="284">
        <x:f t="shared" ref="J429:U429" si="236">+$I$398*J352</x:f>
        <x:v>500.99339999999995</x:v>
      </x:c>
      <x:c r="K429" s="285">
        <x:f t="shared" si="236"/>
        <x:v>500.99339999999995</x:v>
      </x:c>
      <x:c r="L429" s="285">
        <x:f t="shared" si="236"/>
        <x:v>500.99339999999995</x:v>
      </x:c>
      <x:c r="M429" s="285">
        <x:f t="shared" si="236"/>
        <x:v>500.99339999999995</x:v>
      </x:c>
      <x:c r="N429" s="285">
        <x:f t="shared" si="236"/>
        <x:v>500.99339999999995</x:v>
      </x:c>
      <x:c r="O429" s="285">
        <x:f t="shared" si="236"/>
        <x:v>500.99339999999995</x:v>
      </x:c>
      <x:c r="P429" s="285">
        <x:f t="shared" si="236"/>
        <x:v>500.99339999999995</x:v>
      </x:c>
      <x:c r="Q429" s="285">
        <x:f t="shared" si="236"/>
        <x:v>500.99339999999995</x:v>
      </x:c>
      <x:c r="R429" s="285">
        <x:f t="shared" si="236"/>
        <x:v>500.99339999999995</x:v>
      </x:c>
      <x:c r="S429" s="285">
        <x:f t="shared" si="236"/>
        <x:v>500.99339999999995</x:v>
      </x:c>
      <x:c r="T429" s="285">
        <x:f t="shared" si="236"/>
        <x:v>500.99339999999995</x:v>
      </x:c>
      <x:c r="U429" s="285">
        <x:f t="shared" si="236"/>
        <x:v>500.99339999999995</x:v>
      </x:c>
      <x:c r="V429" s="134"/>
      <x:c r="W429" s="1046"/>
    </x:row>
    <x:row r="430" spans="1:23" s="48" customFormat="1" ht="13.5">
      <x:c r="A430" s="58"/>
      <x:c r="B430" s="70"/>
      <x:c r="C430" s="240" t="s">
        <x:v>332</x:v>
      </x:c>
      <x:c r="D430" s="240"/>
      <x:c r="E430" s="240"/>
      <x:c r="F430" s="240" t="s">
        <x:v>356</x:v>
      </x:c>
      <x:c r="G430" s="241" t="s">
        <x:v>1040</x:v>
      </x:c>
      <x:c r="H430" s="240">
        <x:v>1</x:v>
      </x:c>
      <x:c r="I430" s="240" t="s">
        <x:v>1089</x:v>
      </x:c>
      <x:c r="J430" s="284">
        <x:f t="shared" ref="J430:U430" si="237">+$I$398*J353</x:f>
        <x:v>706.87530000000004</x:v>
      </x:c>
      <x:c r="K430" s="285">
        <x:f t="shared" si="237"/>
        <x:v>706.87530000000004</x:v>
      </x:c>
      <x:c r="L430" s="285">
        <x:f t="shared" si="237"/>
        <x:v>706.87530000000004</x:v>
      </x:c>
      <x:c r="M430" s="285">
        <x:f t="shared" si="237"/>
        <x:v>706.87530000000004</x:v>
      </x:c>
      <x:c r="N430" s="285">
        <x:f t="shared" si="237"/>
        <x:v>706.87530000000004</x:v>
      </x:c>
      <x:c r="O430" s="285">
        <x:f t="shared" si="237"/>
        <x:v>706.87530000000004</x:v>
      </x:c>
      <x:c r="P430" s="285">
        <x:f t="shared" si="237"/>
        <x:v>706.87530000000004</x:v>
      </x:c>
      <x:c r="Q430" s="285">
        <x:f t="shared" si="237"/>
        <x:v>706.87530000000004</x:v>
      </x:c>
      <x:c r="R430" s="285">
        <x:f t="shared" si="237"/>
        <x:v>706.87530000000004</x:v>
      </x:c>
      <x:c r="S430" s="285">
        <x:f t="shared" si="237"/>
        <x:v>706.87530000000004</x:v>
      </x:c>
      <x:c r="T430" s="285">
        <x:f t="shared" si="237"/>
        <x:v>706.87530000000004</x:v>
      </x:c>
      <x:c r="U430" s="285">
        <x:f t="shared" si="237"/>
        <x:v>706.87530000000004</x:v>
      </x:c>
      <x:c r="V430" s="134"/>
      <x:c r="W430" s="1046"/>
    </x:row>
    <x:row r="431" spans="1:23" s="48" customFormat="1" ht="13.5">
      <x:c r="A431" s="58"/>
      <x:c r="B431" s="70"/>
      <x:c r="C431" s="240" t="s">
        <x:v>332</x:v>
      </x:c>
      <x:c r="D431" s="235"/>
      <x:c r="E431" s="235"/>
      <x:c r="F431" s="235" t="s">
        <x:v>357</x:v>
      </x:c>
      <x:c r="G431" s="236" t="s">
        <x:v>1041</x:v>
      </x:c>
      <x:c r="H431" s="235">
        <x:v>1</x:v>
      </x:c>
      <x:c r="I431" s="235" t="s">
        <x:v>1089</x:v>
      </x:c>
      <x:c r="J431" s="284">
        <x:f t="shared" ref="J431:U431" si="238">+$I$398*J354</x:f>
        <x:v>361.34010000000001</x:v>
      </x:c>
      <x:c r="K431" s="285">
        <x:f t="shared" si="238"/>
        <x:v>361.34010000000001</x:v>
      </x:c>
      <x:c r="L431" s="285">
        <x:f t="shared" si="238"/>
        <x:v>361.34010000000001</x:v>
      </x:c>
      <x:c r="M431" s="285">
        <x:f t="shared" si="238"/>
        <x:v>361.34010000000001</x:v>
      </x:c>
      <x:c r="N431" s="285">
        <x:f t="shared" si="238"/>
        <x:v>361.34010000000001</x:v>
      </x:c>
      <x:c r="O431" s="285">
        <x:f t="shared" si="238"/>
        <x:v>361.34010000000001</x:v>
      </x:c>
      <x:c r="P431" s="285">
        <x:f t="shared" si="238"/>
        <x:v>361.34010000000001</x:v>
      </x:c>
      <x:c r="Q431" s="285">
        <x:f t="shared" si="238"/>
        <x:v>361.34010000000001</x:v>
      </x:c>
      <x:c r="R431" s="285">
        <x:f t="shared" si="238"/>
        <x:v>361.34010000000001</x:v>
      </x:c>
      <x:c r="S431" s="285">
        <x:f t="shared" si="238"/>
        <x:v>361.34010000000001</x:v>
      </x:c>
      <x:c r="T431" s="285">
        <x:f t="shared" si="238"/>
        <x:v>361.34010000000001</x:v>
      </x:c>
      <x:c r="U431" s="285">
        <x:f t="shared" si="238"/>
        <x:v>361.34010000000001</x:v>
      </x:c>
      <x:c r="V431" s="134"/>
      <x:c r="W431" s="1046"/>
    </x:row>
    <x:row r="432" spans="1:23" s="48" customFormat="1" ht="13.5">
      <x:c r="A432" s="58"/>
      <x:c r="B432" s="70"/>
      <x:c r="C432" s="240" t="s">
        <x:v>332</x:v>
      </x:c>
      <x:c r="D432" s="61"/>
      <x:c r="E432" s="71"/>
      <x:c r="F432" s="72" t="s">
        <x:v>358</x:v>
      </x:c>
      <x:c r="G432" s="62" t="s">
        <x:v>359</x:v>
      </x:c>
      <x:c r="H432" s="73">
        <x:v>1</x:v>
      </x:c>
      <x:c r="I432" s="240" t="s">
        <x:v>1089</x:v>
      </x:c>
      <x:c r="J432" s="284">
        <x:f t="shared" ref="J432:U432" si="239">+$I$398*J355</x:f>
        <x:v>676.41300000000001</x:v>
      </x:c>
      <x:c r="K432" s="285">
        <x:f t="shared" si="239"/>
        <x:v>676.41300000000001</x:v>
      </x:c>
      <x:c r="L432" s="285">
        <x:f t="shared" si="239"/>
        <x:v>676.41300000000001</x:v>
      </x:c>
      <x:c r="M432" s="285">
        <x:f t="shared" si="239"/>
        <x:v>676.41300000000001</x:v>
      </x:c>
      <x:c r="N432" s="285">
        <x:f t="shared" si="239"/>
        <x:v>676.41300000000001</x:v>
      </x:c>
      <x:c r="O432" s="285">
        <x:f t="shared" si="239"/>
        <x:v>676.41300000000001</x:v>
      </x:c>
      <x:c r="P432" s="285">
        <x:f t="shared" si="239"/>
        <x:v>676.41300000000001</x:v>
      </x:c>
      <x:c r="Q432" s="285">
        <x:f t="shared" si="239"/>
        <x:v>676.41300000000001</x:v>
      </x:c>
      <x:c r="R432" s="285">
        <x:f t="shared" si="239"/>
        <x:v>676.41300000000001</x:v>
      </x:c>
      <x:c r="S432" s="285">
        <x:f t="shared" si="239"/>
        <x:v>676.41300000000001</x:v>
      </x:c>
      <x:c r="T432" s="285">
        <x:f t="shared" si="239"/>
        <x:v>676.41300000000001</x:v>
      </x:c>
      <x:c r="U432" s="285">
        <x:f t="shared" si="239"/>
        <x:v>676.41300000000001</x:v>
      </x:c>
      <x:c r="V432" s="137"/>
      <x:c r="W432" s="1046"/>
    </x:row>
    <x:row r="433" spans="1:23" s="48" customFormat="1" ht="13.5">
      <x:c r="A433" s="58"/>
      <x:c r="B433" s="70"/>
      <x:c r="C433" s="240" t="s">
        <x:v>332</x:v>
      </x:c>
      <x:c r="D433" s="240"/>
      <x:c r="E433" s="244"/>
      <x:c r="F433" s="245" t="s">
        <x:v>360</x:v>
      </x:c>
      <x:c r="G433" s="241" t="s">
        <x:v>1042</x:v>
      </x:c>
      <x:c r="H433" s="246">
        <x:v>1</x:v>
      </x:c>
      <x:c r="I433" s="240" t="s">
        <x:v>1089</x:v>
      </x:c>
      <x:c r="J433" s="284">
        <x:f t="shared" ref="J433:U433" si="240">+$I$398*J356</x:f>
        <x:v>705.15659999999991</x:v>
      </x:c>
      <x:c r="K433" s="285">
        <x:f t="shared" si="240"/>
        <x:v>705.15659999999991</x:v>
      </x:c>
      <x:c r="L433" s="285">
        <x:f t="shared" si="240"/>
        <x:v>705.15659999999991</x:v>
      </x:c>
      <x:c r="M433" s="285">
        <x:f t="shared" si="240"/>
        <x:v>705.15659999999991</x:v>
      </x:c>
      <x:c r="N433" s="285">
        <x:f t="shared" si="240"/>
        <x:v>705.15659999999991</x:v>
      </x:c>
      <x:c r="O433" s="285">
        <x:f t="shared" si="240"/>
        <x:v>705.15659999999991</x:v>
      </x:c>
      <x:c r="P433" s="285">
        <x:f t="shared" si="240"/>
        <x:v>705.15659999999991</x:v>
      </x:c>
      <x:c r="Q433" s="285">
        <x:f t="shared" si="240"/>
        <x:v>705.15659999999991</x:v>
      </x:c>
      <x:c r="R433" s="285">
        <x:f t="shared" si="240"/>
        <x:v>705.15659999999991</x:v>
      </x:c>
      <x:c r="S433" s="285">
        <x:f t="shared" si="240"/>
        <x:v>705.15659999999991</x:v>
      </x:c>
      <x:c r="T433" s="285">
        <x:f t="shared" si="240"/>
        <x:v>705.15659999999991</x:v>
      </x:c>
      <x:c r="U433" s="285">
        <x:f t="shared" si="240"/>
        <x:v>705.15659999999991</x:v>
      </x:c>
      <x:c r="V433" s="136"/>
      <x:c r="W433" s="1046"/>
    </x:row>
    <x:row r="434" spans="1:23" s="48" customFormat="1" ht="13.5">
      <x:c r="A434" s="58"/>
      <x:c r="B434" s="70"/>
      <x:c r="C434" s="240" t="s">
        <x:v>332</x:v>
      </x:c>
      <x:c r="D434" s="240"/>
      <x:c r="E434" s="240"/>
      <x:c r="F434" s="240" t="s">
        <x:v>361</x:v>
      </x:c>
      <x:c r="G434" s="241" t="s">
        <x:v>1043</x:v>
      </x:c>
      <x:c r="H434" s="240">
        <x:v>1</x:v>
      </x:c>
      <x:c r="I434" s="240" t="s">
        <x:v>1089</x:v>
      </x:c>
      <x:c r="J434" s="284">
        <x:f t="shared" ref="J434:U434" si="241">+$I$398*J357</x:f>
        <x:v>644.44110000000001</x:v>
      </x:c>
      <x:c r="K434" s="285">
        <x:f t="shared" si="241"/>
        <x:v>644.44110000000001</x:v>
      </x:c>
      <x:c r="L434" s="285">
        <x:f t="shared" si="241"/>
        <x:v>644.44110000000001</x:v>
      </x:c>
      <x:c r="M434" s="285">
        <x:f t="shared" si="241"/>
        <x:v>644.44110000000001</x:v>
      </x:c>
      <x:c r="N434" s="285">
        <x:f t="shared" si="241"/>
        <x:v>644.44110000000001</x:v>
      </x:c>
      <x:c r="O434" s="285">
        <x:f t="shared" si="241"/>
        <x:v>644.44110000000001</x:v>
      </x:c>
      <x:c r="P434" s="285">
        <x:f t="shared" si="241"/>
        <x:v>644.44110000000001</x:v>
      </x:c>
      <x:c r="Q434" s="285">
        <x:f t="shared" si="241"/>
        <x:v>644.44110000000001</x:v>
      </x:c>
      <x:c r="R434" s="285">
        <x:f t="shared" si="241"/>
        <x:v>644.44110000000001</x:v>
      </x:c>
      <x:c r="S434" s="285">
        <x:f t="shared" si="241"/>
        <x:v>644.44110000000001</x:v>
      </x:c>
      <x:c r="T434" s="285">
        <x:f t="shared" si="241"/>
        <x:v>644.44110000000001</x:v>
      </x:c>
      <x:c r="U434" s="285">
        <x:f t="shared" si="241"/>
        <x:v>644.44110000000001</x:v>
      </x:c>
      <x:c r="V434" s="136"/>
      <x:c r="W434" s="1046"/>
    </x:row>
    <x:row r="435" spans="1:23" s="48" customFormat="1" ht="13.5">
      <x:c r="A435" s="58"/>
      <x:c r="B435" s="70"/>
      <x:c r="C435" s="240" t="s">
        <x:v>332</x:v>
      </x:c>
      <x:c r="D435" s="240"/>
      <x:c r="E435" s="240"/>
      <x:c r="F435" s="240" t="s">
        <x:v>362</x:v>
      </x:c>
      <x:c r="G435" s="241" t="s">
        <x:v>1044</x:v>
      </x:c>
      <x:c r="H435" s="235">
        <x:v>1</x:v>
      </x:c>
      <x:c r="I435" s="240" t="s">
        <x:v>1089</x:v>
      </x:c>
      <x:c r="J435" s="284">
        <x:f t="shared" ref="J435:U435" si="242">+$I$398*J358</x:f>
        <x:v>683.54279999999994</x:v>
      </x:c>
      <x:c r="K435" s="285">
        <x:f t="shared" si="242"/>
        <x:v>683.54279999999994</x:v>
      </x:c>
      <x:c r="L435" s="285">
        <x:f t="shared" si="242"/>
        <x:v>683.54279999999994</x:v>
      </x:c>
      <x:c r="M435" s="285">
        <x:f t="shared" si="242"/>
        <x:v>683.54279999999994</x:v>
      </x:c>
      <x:c r="N435" s="285">
        <x:f t="shared" si="242"/>
        <x:v>683.54279999999994</x:v>
      </x:c>
      <x:c r="O435" s="285">
        <x:f t="shared" si="242"/>
        <x:v>683.54279999999994</x:v>
      </x:c>
      <x:c r="P435" s="285">
        <x:f t="shared" si="242"/>
        <x:v>683.54279999999994</x:v>
      </x:c>
      <x:c r="Q435" s="285">
        <x:f t="shared" si="242"/>
        <x:v>683.54279999999994</x:v>
      </x:c>
      <x:c r="R435" s="285">
        <x:f t="shared" si="242"/>
        <x:v>683.54279999999994</x:v>
      </x:c>
      <x:c r="S435" s="285">
        <x:f t="shared" si="242"/>
        <x:v>683.54279999999994</x:v>
      </x:c>
      <x:c r="T435" s="285">
        <x:f t="shared" si="242"/>
        <x:v>683.54279999999994</x:v>
      </x:c>
      <x:c r="U435" s="285">
        <x:f t="shared" si="242"/>
        <x:v>683.54279999999994</x:v>
      </x:c>
      <x:c r="V435" s="134"/>
      <x:c r="W435" s="1046"/>
    </x:row>
    <x:row r="436" spans="1:23" s="48" customFormat="1" ht="13.5">
      <x:c r="A436" s="76"/>
      <x:c r="B436" s="75"/>
      <x:c r="C436" s="1143" t="s">
        <x:v>332</x:v>
      </x:c>
      <x:c r="D436" s="240"/>
      <x:c r="E436" s="240"/>
      <x:c r="F436" s="240" t="s">
        <x:v>351</x:v>
      </x:c>
      <x:c r="G436" s="241" t="s">
        <x:v>352</x:v>
      </x:c>
      <x:c r="H436" s="240">
        <x:v>1</x:v>
      </x:c>
      <x:c r="I436" s="240" t="s">
        <x:v>1089</x:v>
      </x:c>
      <x:c r="J436" s="284">
        <x:f t="shared" ref="J436:U436" si="243">+$I$398*J359</x:f>
        <x:v>452.56890000000004</x:v>
      </x:c>
      <x:c r="K436" s="285">
        <x:f t="shared" si="243"/>
        <x:v>452.56890000000004</x:v>
      </x:c>
      <x:c r="L436" s="285">
        <x:f t="shared" si="243"/>
        <x:v>452.56890000000004</x:v>
      </x:c>
      <x:c r="M436" s="285">
        <x:f t="shared" si="243"/>
        <x:v>452.56890000000004</x:v>
      </x:c>
      <x:c r="N436" s="285">
        <x:f t="shared" si="243"/>
        <x:v>452.56890000000004</x:v>
      </x:c>
      <x:c r="O436" s="285">
        <x:f t="shared" si="243"/>
        <x:v>452.56890000000004</x:v>
      </x:c>
      <x:c r="P436" s="285">
        <x:f t="shared" si="243"/>
        <x:v>452.56890000000004</x:v>
      </x:c>
      <x:c r="Q436" s="285">
        <x:f t="shared" si="243"/>
        <x:v>452.56890000000004</x:v>
      </x:c>
      <x:c r="R436" s="285">
        <x:f t="shared" si="243"/>
        <x:v>452.56890000000004</x:v>
      </x:c>
      <x:c r="S436" s="285">
        <x:f t="shared" si="243"/>
        <x:v>452.56890000000004</x:v>
      </x:c>
      <x:c r="T436" s="285">
        <x:f t="shared" si="243"/>
        <x:v>452.56890000000004</x:v>
      </x:c>
      <x:c r="U436" s="285">
        <x:f t="shared" si="243"/>
        <x:v>452.56890000000004</x:v>
      </x:c>
      <x:c r="V436" s="138"/>
      <x:c r="W436" s="1052"/>
    </x:row>
    <x:row r="437" spans="1:23">
      <x:c r="A437" s="76"/>
      <x:c r="B437" s="70" t="s">
        <x:v>367</x:v>
      </x:c>
      <x:c r="C437" s="67" t="s">
        <x:v>332</x:v>
      </x:c>
      <x:c r="D437" s="235"/>
      <x:c r="E437" s="235"/>
      <x:c r="F437" s="235" t="s">
        <x:v>368</x:v>
      </x:c>
      <x:c r="G437" s="68" t="s">
        <x:v>369</x:v>
      </x:c>
      <x:c r="H437" s="67">
        <x:v>2</x:v>
      </x:c>
      <x:c r="I437" s="235" t="s">
        <x:v>1089</x:v>
      </x:c>
      <x:c r="J437" s="284">
        <x:f>+$I$398*J360</x:f>
        <x:v>413.37539999999996</x:v>
      </x:c>
      <x:c r="K437" s="284">
        <x:f t="shared" ref="K437:U437" si="244">+$I$398*K360</x:f>
        <x:v>413.37539999999996</x:v>
      </x:c>
      <x:c r="L437" s="284">
        <x:f t="shared" si="244"/>
        <x:v>413.37539999999996</x:v>
      </x:c>
      <x:c r="M437" s="284">
        <x:f t="shared" si="244"/>
        <x:v>413.37539999999996</x:v>
      </x:c>
      <x:c r="N437" s="284">
        <x:f t="shared" si="244"/>
        <x:v>413.37539999999996</x:v>
      </x:c>
      <x:c r="O437" s="284">
        <x:f t="shared" si="244"/>
        <x:v>413.37539999999996</x:v>
      </x:c>
      <x:c r="P437" s="284">
        <x:f t="shared" si="244"/>
        <x:v>413.37539999999996</x:v>
      </x:c>
      <x:c r="Q437" s="284">
        <x:f t="shared" si="244"/>
        <x:v>413.37539999999996</x:v>
      </x:c>
      <x:c r="R437" s="284">
        <x:f t="shared" si="244"/>
        <x:v>413.37539999999996</x:v>
      </x:c>
      <x:c r="S437" s="284">
        <x:f t="shared" si="244"/>
        <x:v>413.37539999999996</x:v>
      </x:c>
      <x:c r="T437" s="284">
        <x:f t="shared" si="244"/>
        <x:v>413.37539999999996</x:v>
      </x:c>
      <x:c r="U437" s="284">
        <x:f t="shared" si="244"/>
        <x:v>413.37539999999996</x:v>
      </x:c>
      <x:c r="V437" s="138"/>
      <x:c r="W437" s="1052"/>
    </x:row>
    <x:row r="438" spans="1:23">
      <x:c r="A438" s="76"/>
      <x:c r="B438" s="70"/>
      <x:c r="C438" s="1165" t="s">
        <x:v>332</x:v>
      </x:c>
      <x:c r="D438" s="1143"/>
      <x:c r="E438" s="1143"/>
      <x:c r="F438" s="1143" t="str">
        <x:f t="shared" ref="F438:I439" si="245">F437</x:f>
        <x:v>BUS BAR ASY - ARRAY 4 POS TO ARRAY 5 NEG</x:v>
      </x:c>
      <x:c r="G438" s="1136" t="s">
        <x:v>369</x:v>
      </x:c>
      <x:c r="H438" s="1135">
        <x:v>1</x:v>
      </x:c>
      <x:c r="I438" s="1143" t="str">
        <x:f t="shared" si="245"/>
        <x:v>터키 현지 외주</x:v>
      </x:c>
      <x:c r="J438" s="284">
        <x:f t="shared" ref="J438:U438" si="246">+$I$398*J361</x:f>
        <x:v>413.37539999999996</x:v>
      </x:c>
      <x:c r="K438" s="284">
        <x:f t="shared" si="246"/>
        <x:v>413.37539999999996</x:v>
      </x:c>
      <x:c r="L438" s="284">
        <x:f t="shared" si="246"/>
        <x:v>413.37539999999996</x:v>
      </x:c>
      <x:c r="M438" s="284">
        <x:f t="shared" si="246"/>
        <x:v>413.37539999999996</x:v>
      </x:c>
      <x:c r="N438" s="284">
        <x:f t="shared" si="246"/>
        <x:v>413.37539999999996</x:v>
      </x:c>
      <x:c r="O438" s="284">
        <x:f t="shared" si="246"/>
        <x:v>413.37539999999996</x:v>
      </x:c>
      <x:c r="P438" s="284">
        <x:f t="shared" si="246"/>
        <x:v>413.37539999999996</x:v>
      </x:c>
      <x:c r="Q438" s="284">
        <x:f t="shared" si="246"/>
        <x:v>413.37539999999996</x:v>
      </x:c>
      <x:c r="R438" s="284">
        <x:f t="shared" si="246"/>
        <x:v>413.37539999999996</x:v>
      </x:c>
      <x:c r="S438" s="284">
        <x:f t="shared" si="246"/>
        <x:v>413.37539999999996</x:v>
      </x:c>
      <x:c r="T438" s="284">
        <x:f t="shared" si="246"/>
        <x:v>413.37539999999996</x:v>
      </x:c>
      <x:c r="U438" s="284">
        <x:f t="shared" si="246"/>
        <x:v>413.37539999999996</x:v>
      </x:c>
      <x:c r="V438" s="138"/>
      <x:c r="W438" s="1052"/>
    </x:row>
    <x:row r="439" spans="1:23">
      <x:c r="A439" s="76"/>
      <x:c r="B439" s="70"/>
      <x:c r="C439" s="1165" t="s">
        <x:v>332</x:v>
      </x:c>
      <x:c r="D439" s="1143"/>
      <x:c r="E439" s="1143"/>
      <x:c r="F439" s="1143" t="str">
        <x:f t="shared" si="245"/>
        <x:v>BUS BAR ASY - ARRAY 4 POS TO ARRAY 5 NEG</x:v>
      </x:c>
      <x:c r="G439" s="1136" t="s">
        <x:v>1517</x:v>
      </x:c>
      <x:c r="H439" s="1135">
        <x:v>1</x:v>
      </x:c>
      <x:c r="I439" s="1143" t="str">
        <x:f t="shared" si="245"/>
        <x:v>터키 현지 외주</x:v>
      </x:c>
      <x:c r="J439" s="284">
        <x:f t="shared" ref="J439:U439" si="247">+$I$398*J362</x:f>
        <x:v>554.03022185970633</x:v>
      </x:c>
      <x:c r="K439" s="284">
        <x:f t="shared" si="247"/>
        <x:v>554.03022185970633</x:v>
      </x:c>
      <x:c r="L439" s="284">
        <x:f t="shared" si="247"/>
        <x:v>554.03022185970633</x:v>
      </x:c>
      <x:c r="M439" s="284">
        <x:f t="shared" si="247"/>
        <x:v>554.03022185970633</x:v>
      </x:c>
      <x:c r="N439" s="284">
        <x:f t="shared" si="247"/>
        <x:v>554.03022185970633</x:v>
      </x:c>
      <x:c r="O439" s="284">
        <x:f t="shared" si="247"/>
        <x:v>554.03022185970633</x:v>
      </x:c>
      <x:c r="P439" s="284">
        <x:f t="shared" si="247"/>
        <x:v>554.03022185970633</x:v>
      </x:c>
      <x:c r="Q439" s="284">
        <x:f t="shared" si="247"/>
        <x:v>554.03022185970633</x:v>
      </x:c>
      <x:c r="R439" s="284">
        <x:f t="shared" si="247"/>
        <x:v>554.03022185970633</x:v>
      </x:c>
      <x:c r="S439" s="284">
        <x:f t="shared" si="247"/>
        <x:v>554.03022185970633</x:v>
      </x:c>
      <x:c r="T439" s="284">
        <x:f t="shared" si="247"/>
        <x:v>554.03022185970633</x:v>
      </x:c>
      <x:c r="U439" s="284">
        <x:f t="shared" si="247"/>
        <x:v>554.03022185970633</x:v>
      </x:c>
      <x:c r="V439" s="138"/>
      <x:c r="W439" s="1052"/>
    </x:row>
    <x:row r="440" spans="1:23">
      <x:c r="A440" s="76"/>
      <x:c r="B440" s="70"/>
      <x:c r="C440" s="235" t="s">
        <x:v>332</x:v>
      </x:c>
      <x:c r="D440" s="235"/>
      <x:c r="E440" s="235"/>
      <x:c r="F440" s="235" t="s">
        <x:v>370</x:v>
      </x:c>
      <x:c r="G440" s="236" t="s">
        <x:v>371</x:v>
      </x:c>
      <x:c r="H440" s="235">
        <x:v>2</x:v>
      </x:c>
      <x:c r="I440" s="235" t="s">
        <x:v>1089</x:v>
      </x:c>
      <x:c r="J440" s="284">
        <x:f t="shared" ref="J440:U440" si="248">+$I$398*J363</x:f>
        <x:v>450.19229999999999</x:v>
      </x:c>
      <x:c r="K440" s="284">
        <x:f t="shared" si="248"/>
        <x:v>450.19229999999999</x:v>
      </x:c>
      <x:c r="L440" s="284">
        <x:f t="shared" si="248"/>
        <x:v>450.19229999999999</x:v>
      </x:c>
      <x:c r="M440" s="284">
        <x:f t="shared" si="248"/>
        <x:v>450.19229999999999</x:v>
      </x:c>
      <x:c r="N440" s="284">
        <x:f t="shared" si="248"/>
        <x:v>450.19229999999999</x:v>
      </x:c>
      <x:c r="O440" s="284">
        <x:f t="shared" si="248"/>
        <x:v>450.19229999999999</x:v>
      </x:c>
      <x:c r="P440" s="284">
        <x:f t="shared" si="248"/>
        <x:v>450.19229999999999</x:v>
      </x:c>
      <x:c r="Q440" s="284">
        <x:f t="shared" si="248"/>
        <x:v>450.19229999999999</x:v>
      </x:c>
      <x:c r="R440" s="284">
        <x:f t="shared" si="248"/>
        <x:v>450.19229999999999</x:v>
      </x:c>
      <x:c r="S440" s="284">
        <x:f t="shared" si="248"/>
        <x:v>450.19229999999999</x:v>
      </x:c>
      <x:c r="T440" s="284">
        <x:f t="shared" si="248"/>
        <x:v>450.19229999999999</x:v>
      </x:c>
      <x:c r="U440" s="284">
        <x:f t="shared" si="248"/>
        <x:v>450.19229999999999</x:v>
      </x:c>
      <x:c r="V440" s="134"/>
      <x:c r="W440" s="1046"/>
    </x:row>
    <x:row r="441" spans="1:23">
      <x:c r="A441" s="76"/>
      <x:c r="B441" s="70"/>
      <x:c r="C441" s="1165" t="s">
        <x:v>332</x:v>
      </x:c>
      <x:c r="D441" s="1143"/>
      <x:c r="E441" s="1143"/>
      <x:c r="F441" s="1143" t="str">
        <x:f t="shared" ref="F441:I441" si="249">F440</x:f>
        <x:v>BUS BAR ASY – COMMON BUSBAR ARRAY 3-2, 2-1</x:v>
      </x:c>
      <x:c r="G441" s="1144" t="str">
        <x:f t="shared" si="249"/>
        <x:v>S2X8-14A033-EC</x:v>
      </x:c>
      <x:c r="H441" s="1143">
        <x:f t="shared" si="249"/>
        <x:v>2</x:v>
      </x:c>
      <x:c r="I441" s="1143" t="str">
        <x:f t="shared" si="249"/>
        <x:v>터키 현지 외주</x:v>
      </x:c>
      <x:c r="J441" s="284">
        <x:f t="shared" ref="J441:U441" si="250">+$I$398*J364</x:f>
        <x:v>621.26433855943571</x:v>
      </x:c>
      <x:c r="K441" s="284">
        <x:f t="shared" si="250"/>
        <x:v>621.26433855943571</x:v>
      </x:c>
      <x:c r="L441" s="284">
        <x:f t="shared" si="250"/>
        <x:v>621.26433855943571</x:v>
      </x:c>
      <x:c r="M441" s="284">
        <x:f t="shared" si="250"/>
        <x:v>621.26433855943571</x:v>
      </x:c>
      <x:c r="N441" s="284">
        <x:f t="shared" si="250"/>
        <x:v>621.26433855943571</x:v>
      </x:c>
      <x:c r="O441" s="284">
        <x:f t="shared" si="250"/>
        <x:v>621.26433855943571</x:v>
      </x:c>
      <x:c r="P441" s="284">
        <x:f t="shared" si="250"/>
        <x:v>621.26433855943571</x:v>
      </x:c>
      <x:c r="Q441" s="284">
        <x:f t="shared" si="250"/>
        <x:v>621.26433855943571</x:v>
      </x:c>
      <x:c r="R441" s="284">
        <x:f t="shared" si="250"/>
        <x:v>621.26433855943571</x:v>
      </x:c>
      <x:c r="S441" s="284">
        <x:f t="shared" si="250"/>
        <x:v>621.26433855943571</x:v>
      </x:c>
      <x:c r="T441" s="284">
        <x:f t="shared" si="250"/>
        <x:v>621.26433855943571</x:v>
      </x:c>
      <x:c r="U441" s="284">
        <x:f t="shared" si="250"/>
        <x:v>621.26433855943571</x:v>
      </x:c>
      <x:c r="V441" s="1164"/>
      <x:c r="W441" s="1046"/>
    </x:row>
    <x:row r="442" spans="1:23">
      <x:c r="A442" s="76"/>
      <x:c r="B442" s="70"/>
      <x:c r="C442" s="1143" t="s">
        <x:v>332</x:v>
      </x:c>
      <x:c r="D442" s="1143"/>
      <x:c r="E442" s="1153"/>
      <x:c r="F442" s="1154" t="s">
        <x:v>372</x:v>
      </x:c>
      <x:c r="G442" s="1144" t="s">
        <x:v>373</x:v>
      </x:c>
      <x:c r="H442" s="1155">
        <x:v>1</x:v>
      </x:c>
      <x:c r="I442" s="1143" t="s">
        <x:v>1089</x:v>
      </x:c>
      <x:c r="J442" s="284">
        <x:f t="shared" ref="J442:U442" si="251">+$I$398*J365</x:f>
        <x:v>409.86660000000001</x:v>
      </x:c>
      <x:c r="K442" s="284">
        <x:f t="shared" si="251"/>
        <x:v>409.86660000000001</x:v>
      </x:c>
      <x:c r="L442" s="284">
        <x:f t="shared" si="251"/>
        <x:v>409.86660000000001</x:v>
      </x:c>
      <x:c r="M442" s="284">
        <x:f t="shared" si="251"/>
        <x:v>409.86660000000001</x:v>
      </x:c>
      <x:c r="N442" s="284">
        <x:f t="shared" si="251"/>
        <x:v>409.86660000000001</x:v>
      </x:c>
      <x:c r="O442" s="284">
        <x:f t="shared" si="251"/>
        <x:v>409.86660000000001</x:v>
      </x:c>
      <x:c r="P442" s="284">
        <x:f t="shared" si="251"/>
        <x:v>409.86660000000001</x:v>
      </x:c>
      <x:c r="Q442" s="284">
        <x:f t="shared" si="251"/>
        <x:v>409.86660000000001</x:v>
      </x:c>
      <x:c r="R442" s="284">
        <x:f t="shared" si="251"/>
        <x:v>409.86660000000001</x:v>
      </x:c>
      <x:c r="S442" s="284">
        <x:f t="shared" si="251"/>
        <x:v>409.86660000000001</x:v>
      </x:c>
      <x:c r="T442" s="284">
        <x:f t="shared" si="251"/>
        <x:v>409.86660000000001</x:v>
      </x:c>
      <x:c r="U442" s="284">
        <x:f t="shared" si="251"/>
        <x:v>409.86660000000001</x:v>
      </x:c>
      <x:c r="V442" s="1164"/>
      <x:c r="W442" s="1046"/>
    </x:row>
    <x:row r="443" spans="1:23">
      <x:c r="A443" s="76"/>
      <x:c r="B443" s="70"/>
      <x:c r="C443" s="1165" t="s">
        <x:v>332</x:v>
      </x:c>
      <x:c r="D443" s="61"/>
      <x:c r="E443" s="71"/>
      <x:c r="F443" s="72" t="str">
        <x:f t="shared" ref="F443:I443" si="252">F442</x:f>
        <x:v>BUS BAR ASY – POS BEC TO ARRAY 6 POS </x:v>
      </x:c>
      <x:c r="G443" s="62" t="str">
        <x:f t="shared" si="252"/>
        <x:v>S2X8-14A033-AC</x:v>
      </x:c>
      <x:c r="H443" s="73">
        <x:f t="shared" si="252"/>
        <x:v>1</x:v>
      </x:c>
      <x:c r="I443" s="61" t="str">
        <x:f t="shared" si="252"/>
        <x:v>터키 현지 외주</x:v>
      </x:c>
      <x:c r="J443" s="284">
        <x:f t="shared" ref="J443:U443" si="253">+$I$398*J366</x:f>
        <x:v>577.91951020408158</x:v>
      </x:c>
      <x:c r="K443" s="284">
        <x:f t="shared" si="253"/>
        <x:v>577.91951020408158</x:v>
      </x:c>
      <x:c r="L443" s="284">
        <x:f t="shared" si="253"/>
        <x:v>577.91951020408158</x:v>
      </x:c>
      <x:c r="M443" s="284">
        <x:f t="shared" si="253"/>
        <x:v>577.91951020408158</x:v>
      </x:c>
      <x:c r="N443" s="284">
        <x:f t="shared" si="253"/>
        <x:v>577.91951020408158</x:v>
      </x:c>
      <x:c r="O443" s="284">
        <x:f t="shared" si="253"/>
        <x:v>577.91951020408158</x:v>
      </x:c>
      <x:c r="P443" s="284">
        <x:f t="shared" si="253"/>
        <x:v>577.91951020408158</x:v>
      </x:c>
      <x:c r="Q443" s="284">
        <x:f t="shared" si="253"/>
        <x:v>577.91951020408158</x:v>
      </x:c>
      <x:c r="R443" s="284">
        <x:f t="shared" si="253"/>
        <x:v>577.91951020408158</x:v>
      </x:c>
      <x:c r="S443" s="284">
        <x:f t="shared" si="253"/>
        <x:v>577.91951020408158</x:v>
      </x:c>
      <x:c r="T443" s="284">
        <x:f t="shared" si="253"/>
        <x:v>577.91951020408158</x:v>
      </x:c>
      <x:c r="U443" s="284">
        <x:f t="shared" si="253"/>
        <x:v>577.91951020408158</x:v>
      </x:c>
      <x:c r="V443" s="137"/>
      <x:c r="W443" s="1149"/>
    </x:row>
    <x:row r="444" spans="1:23">
      <x:c r="A444" s="76"/>
      <x:c r="B444" s="70"/>
      <x:c r="C444" s="240" t="s">
        <x:v>332</x:v>
      </x:c>
      <x:c r="D444" s="240"/>
      <x:c r="E444" s="244"/>
      <x:c r="F444" s="245" t="s">
        <x:v>374</x:v>
      </x:c>
      <x:c r="G444" s="241" t="s">
        <x:v>375</x:v>
      </x:c>
      <x:c r="H444" s="246">
        <x:v>1</x:v>
      </x:c>
      <x:c r="I444" s="240" t="s">
        <x:v>1089</x:v>
      </x:c>
      <x:c r="J444" s="284">
        <x:f t="shared" ref="J444:U444" si="254">+$I$398*J367</x:f>
        <x:v>273.49259999999998</x:v>
      </x:c>
      <x:c r="K444" s="284">
        <x:f t="shared" si="254"/>
        <x:v>273.49259999999998</x:v>
      </x:c>
      <x:c r="L444" s="284">
        <x:f t="shared" si="254"/>
        <x:v>273.49259999999998</x:v>
      </x:c>
      <x:c r="M444" s="284">
        <x:f t="shared" si="254"/>
        <x:v>273.49259999999998</x:v>
      </x:c>
      <x:c r="N444" s="284">
        <x:f t="shared" si="254"/>
        <x:v>273.49259999999998</x:v>
      </x:c>
      <x:c r="O444" s="284">
        <x:f t="shared" si="254"/>
        <x:v>273.49259999999998</x:v>
      </x:c>
      <x:c r="P444" s="284">
        <x:f t="shared" si="254"/>
        <x:v>273.49259999999998</x:v>
      </x:c>
      <x:c r="Q444" s="284">
        <x:f t="shared" si="254"/>
        <x:v>273.49259999999998</x:v>
      </x:c>
      <x:c r="R444" s="284">
        <x:f t="shared" si="254"/>
        <x:v>273.49259999999998</x:v>
      </x:c>
      <x:c r="S444" s="284">
        <x:f t="shared" si="254"/>
        <x:v>273.49259999999998</x:v>
      </x:c>
      <x:c r="T444" s="284">
        <x:f t="shared" si="254"/>
        <x:v>273.49259999999998</x:v>
      </x:c>
      <x:c r="U444" s="284">
        <x:f t="shared" si="254"/>
        <x:v>273.49259999999998</x:v>
      </x:c>
      <x:c r="V444" s="136"/>
      <x:c r="W444" s="1053"/>
    </x:row>
    <x:row r="445" spans="1:23" s="48" customFormat="1" ht="13.5">
      <x:c r="A445" s="76"/>
      <x:c r="B445" s="70"/>
      <x:c r="C445" s="240" t="s">
        <x:v>332</x:v>
      </x:c>
      <x:c r="D445" s="235"/>
      <x:c r="E445" s="244"/>
      <x:c r="F445" s="245" t="s">
        <x:v>376</x:v>
      </x:c>
      <x:c r="G445" s="241" t="s">
        <x:v>377</x:v>
      </x:c>
      <x:c r="H445" s="246">
        <x:v>1</x:v>
      </x:c>
      <x:c r="I445" s="240" t="s">
        <x:v>1089</x:v>
      </x:c>
      <x:c r="J445" s="284">
        <x:f t="shared" ref="J445:U445" si="255">+$I$398*J368</x:f>
        <x:v>457.3272</x:v>
      </x:c>
      <x:c r="K445" s="284">
        <x:f t="shared" si="255"/>
        <x:v>457.3272</x:v>
      </x:c>
      <x:c r="L445" s="284">
        <x:f t="shared" si="255"/>
        <x:v>457.3272</x:v>
      </x:c>
      <x:c r="M445" s="284">
        <x:f t="shared" si="255"/>
        <x:v>457.3272</x:v>
      </x:c>
      <x:c r="N445" s="284">
        <x:f t="shared" si="255"/>
        <x:v>457.3272</x:v>
      </x:c>
      <x:c r="O445" s="284">
        <x:f t="shared" si="255"/>
        <x:v>457.3272</x:v>
      </x:c>
      <x:c r="P445" s="284">
        <x:f t="shared" si="255"/>
        <x:v>457.3272</x:v>
      </x:c>
      <x:c r="Q445" s="284">
        <x:f t="shared" si="255"/>
        <x:v>457.3272</x:v>
      </x:c>
      <x:c r="R445" s="284">
        <x:f t="shared" si="255"/>
        <x:v>457.3272</x:v>
      </x:c>
      <x:c r="S445" s="284">
        <x:f t="shared" si="255"/>
        <x:v>457.3272</x:v>
      </x:c>
      <x:c r="T445" s="284">
        <x:f t="shared" si="255"/>
        <x:v>457.3272</x:v>
      </x:c>
      <x:c r="U445" s="284">
        <x:f t="shared" si="255"/>
        <x:v>457.3272</x:v>
      </x:c>
      <x:c r="V445" s="136"/>
      <x:c r="W445" s="1053"/>
    </x:row>
    <x:row r="446" spans="1:23" s="48" customFormat="1" ht="13.5">
      <x:c r="A446" s="76"/>
      <x:c r="B446" s="70"/>
      <x:c r="C446" s="240" t="s">
        <x:v>332</x:v>
      </x:c>
      <x:c r="D446" s="240"/>
      <x:c r="E446" s="240"/>
      <x:c r="F446" s="240" t="s">
        <x:v>378</x:v>
      </x:c>
      <x:c r="G446" s="241" t="s">
        <x:v>379</x:v>
      </x:c>
      <x:c r="H446" s="246">
        <x:v>1</x:v>
      </x:c>
      <x:c r="I446" s="240" t="s">
        <x:v>1089</x:v>
      </x:c>
      <x:c r="J446" s="284">
        <x:f t="shared" ref="J446:U446" si="256">+$I$398*J369</x:f>
        <x:v>306.59159999999997</x:v>
      </x:c>
      <x:c r="K446" s="284">
        <x:f t="shared" si="256"/>
        <x:v>306.59159999999997</x:v>
      </x:c>
      <x:c r="L446" s="284">
        <x:f t="shared" si="256"/>
        <x:v>306.59159999999997</x:v>
      </x:c>
      <x:c r="M446" s="284">
        <x:f t="shared" si="256"/>
        <x:v>306.59159999999997</x:v>
      </x:c>
      <x:c r="N446" s="284">
        <x:f t="shared" si="256"/>
        <x:v>306.59159999999997</x:v>
      </x:c>
      <x:c r="O446" s="284">
        <x:f t="shared" si="256"/>
        <x:v>306.59159999999997</x:v>
      </x:c>
      <x:c r="P446" s="284">
        <x:f t="shared" si="256"/>
        <x:v>306.59159999999997</x:v>
      </x:c>
      <x:c r="Q446" s="284">
        <x:f t="shared" si="256"/>
        <x:v>306.59159999999997</x:v>
      </x:c>
      <x:c r="R446" s="284">
        <x:f t="shared" si="256"/>
        <x:v>306.59159999999997</x:v>
      </x:c>
      <x:c r="S446" s="284">
        <x:f t="shared" si="256"/>
        <x:v>306.59159999999997</x:v>
      </x:c>
      <x:c r="T446" s="284">
        <x:f t="shared" si="256"/>
        <x:v>306.59159999999997</x:v>
      </x:c>
      <x:c r="U446" s="284">
        <x:f t="shared" si="256"/>
        <x:v>306.59159999999997</x:v>
      </x:c>
      <x:c r="V446" s="134"/>
      <x:c r="W446" s="1054"/>
    </x:row>
    <x:row r="447" spans="1:23" s="48" customFormat="1" ht="13.5">
      <x:c r="A447" s="76"/>
      <x:c r="B447" s="70"/>
      <x:c r="C447" s="1165" t="s">
        <x:v>332</x:v>
      </x:c>
      <x:c r="D447" s="1142"/>
      <x:c r="E447" s="1142"/>
      <x:c r="F447" s="1142" t="str">
        <x:f t="shared" ref="F447:I447" si="257">F446</x:f>
        <x:v>BUS BAR ASY – ARRAY 1 NEG TO NEG BEC</x:v>
      </x:c>
      <x:c r="G447" s="1150" t="str">
        <x:f t="shared" si="257"/>
        <x:v>S2X8-14A033-GC</x:v>
      </x:c>
      <x:c r="H447" s="1151">
        <x:f t="shared" si="257"/>
        <x:v>1</x:v>
      </x:c>
      <x:c r="I447" s="1142" t="str">
        <x:f t="shared" si="257"/>
        <x:v>터키 현지 외주</x:v>
      </x:c>
      <x:c r="J447" s="284">
        <x:f t="shared" ref="J447:U447" si="258">+$I$398*J370</x:f>
        <x:v>459.6997674418605</x:v>
      </x:c>
      <x:c r="K447" s="284">
        <x:f t="shared" si="258"/>
        <x:v>459.6997674418605</x:v>
      </x:c>
      <x:c r="L447" s="284">
        <x:f t="shared" si="258"/>
        <x:v>459.6997674418605</x:v>
      </x:c>
      <x:c r="M447" s="284">
        <x:f t="shared" si="258"/>
        <x:v>459.6997674418605</x:v>
      </x:c>
      <x:c r="N447" s="284">
        <x:f t="shared" si="258"/>
        <x:v>459.6997674418605</x:v>
      </x:c>
      <x:c r="O447" s="284">
        <x:f t="shared" si="258"/>
        <x:v>459.6997674418605</x:v>
      </x:c>
      <x:c r="P447" s="284">
        <x:f t="shared" si="258"/>
        <x:v>459.6997674418605</x:v>
      </x:c>
      <x:c r="Q447" s="284">
        <x:f t="shared" si="258"/>
        <x:v>459.6997674418605</x:v>
      </x:c>
      <x:c r="R447" s="284">
        <x:f t="shared" si="258"/>
        <x:v>459.6997674418605</x:v>
      </x:c>
      <x:c r="S447" s="284">
        <x:f t="shared" si="258"/>
        <x:v>459.6997674418605</x:v>
      </x:c>
      <x:c r="T447" s="284">
        <x:f t="shared" si="258"/>
        <x:v>459.6997674418605</x:v>
      </x:c>
      <x:c r="U447" s="284">
        <x:f t="shared" si="258"/>
        <x:v>459.6997674418605</x:v>
      </x:c>
      <x:c r="V447" s="1164"/>
      <x:c r="W447" s="1054"/>
    </x:row>
    <x:row r="448" spans="1:23" s="48" customFormat="1" ht="13.5">
      <x:c r="A448" s="76"/>
      <x:c r="B448" s="70"/>
      <x:c r="C448" s="240" t="s">
        <x:v>332</x:v>
      </x:c>
      <x:c r="D448" s="235"/>
      <x:c r="E448" s="235"/>
      <x:c r="F448" s="235" t="s">
        <x:v>380</x:v>
      </x:c>
      <x:c r="G448" s="236" t="s">
        <x:v>381</x:v>
      </x:c>
      <x:c r="H448" s="246">
        <x:v>1</x:v>
      </x:c>
      <x:c r="I448" s="235" t="s">
        <x:v>1089</x:v>
      </x:c>
      <x:c r="J448" s="284">
        <x:f t="shared" ref="J448:U448" si="259">+$I$398*J371</x:f>
        <x:v>458.81639999999999</x:v>
      </x:c>
      <x:c r="K448" s="284">
        <x:f t="shared" si="259"/>
        <x:v>458.81639999999999</x:v>
      </x:c>
      <x:c r="L448" s="284">
        <x:f t="shared" si="259"/>
        <x:v>458.81639999999999</x:v>
      </x:c>
      <x:c r="M448" s="284">
        <x:f t="shared" si="259"/>
        <x:v>458.81639999999999</x:v>
      </x:c>
      <x:c r="N448" s="284">
        <x:f t="shared" si="259"/>
        <x:v>458.81639999999999</x:v>
      </x:c>
      <x:c r="O448" s="284">
        <x:f t="shared" si="259"/>
        <x:v>458.81639999999999</x:v>
      </x:c>
      <x:c r="P448" s="284">
        <x:f t="shared" si="259"/>
        <x:v>458.81639999999999</x:v>
      </x:c>
      <x:c r="Q448" s="284">
        <x:f t="shared" si="259"/>
        <x:v>458.81639999999999</x:v>
      </x:c>
      <x:c r="R448" s="284">
        <x:f t="shared" si="259"/>
        <x:v>458.81639999999999</x:v>
      </x:c>
      <x:c r="S448" s="284">
        <x:f t="shared" si="259"/>
        <x:v>458.81639999999999</x:v>
      </x:c>
      <x:c r="T448" s="284">
        <x:f t="shared" si="259"/>
        <x:v>458.81639999999999</x:v>
      </x:c>
      <x:c r="U448" s="284">
        <x:f t="shared" si="259"/>
        <x:v>458.81639999999999</x:v>
      </x:c>
      <x:c r="V448" s="134"/>
      <x:c r="W448" s="1054"/>
    </x:row>
    <x:row r="449" spans="1:23" s="48" customFormat="1" ht="13.5">
      <x:c r="A449" s="76"/>
      <x:c r="B449" s="75"/>
      <x:c r="C449" s="235" t="s">
        <x:v>332</x:v>
      </x:c>
      <x:c r="D449" s="235"/>
      <x:c r="E449" s="247"/>
      <x:c r="F449" s="248" t="s">
        <x:v>382</x:v>
      </x:c>
      <x:c r="G449" s="236" t="s">
        <x:v>383</x:v>
      </x:c>
      <x:c r="H449" s="249">
        <x:v>1</x:v>
      </x:c>
      <x:c r="I449" s="235" t="s">
        <x:v>1089</x:v>
      </x:c>
      <x:c r="J449" s="284">
        <x:f t="shared" ref="J449:U449" si="260">+$I$398*J372</x:f>
        <x:v>391.41989999999998</x:v>
      </x:c>
      <x:c r="K449" s="284">
        <x:f t="shared" si="260"/>
        <x:v>391.41989999999998</x:v>
      </x:c>
      <x:c r="L449" s="284">
        <x:f t="shared" si="260"/>
        <x:v>391.41989999999998</x:v>
      </x:c>
      <x:c r="M449" s="284">
        <x:f t="shared" si="260"/>
        <x:v>391.41989999999998</x:v>
      </x:c>
      <x:c r="N449" s="284">
        <x:f t="shared" si="260"/>
        <x:v>391.41989999999998</x:v>
      </x:c>
      <x:c r="O449" s="284">
        <x:f t="shared" si="260"/>
        <x:v>391.41989999999998</x:v>
      </x:c>
      <x:c r="P449" s="284">
        <x:f t="shared" si="260"/>
        <x:v>391.41989999999998</x:v>
      </x:c>
      <x:c r="Q449" s="284">
        <x:f t="shared" si="260"/>
        <x:v>391.41989999999998</x:v>
      </x:c>
      <x:c r="R449" s="284">
        <x:f t="shared" si="260"/>
        <x:v>391.41989999999998</x:v>
      </x:c>
      <x:c r="S449" s="284">
        <x:f t="shared" si="260"/>
        <x:v>391.41989999999998</x:v>
      </x:c>
      <x:c r="T449" s="284">
        <x:f t="shared" si="260"/>
        <x:v>391.41989999999998</x:v>
      </x:c>
      <x:c r="U449" s="284">
        <x:f t="shared" si="260"/>
        <x:v>391.41989999999998</x:v>
      </x:c>
      <x:c r="V449" s="134"/>
      <x:c r="W449" s="1068"/>
    </x:row>
    <x:row r="450" spans="1:23" s="48" customFormat="1" ht="13.5">
      <x:c r="A450" s="76"/>
      <x:c r="B450" s="70" t="s">
        <x:v>384</x:v>
      </x:c>
      <x:c r="C450" s="240"/>
      <x:c r="D450" s="235" t="s">
        <x:v>332</x:v>
      </x:c>
      <x:c r="E450" s="247"/>
      <x:c r="F450" s="248" t="s">
        <x:v>385</x:v>
      </x:c>
      <x:c r="G450" s="236" t="s">
        <x:v>386</x:v>
      </x:c>
      <x:c r="H450" s="249">
        <x:v>1</x:v>
      </x:c>
      <x:c r="I450" s="235" t="s">
        <x:v>387</x:v>
      </x:c>
      <x:c r="J450" s="283">
        <x:f t="shared" ref="J450:U450" si="261">+$I$398*J373</x:f>
        <x:v>47.052599999999998</x:v>
      </x:c>
      <x:c r="K450" s="283">
        <x:f t="shared" si="261"/>
        <x:v>47.052599999999998</x:v>
      </x:c>
      <x:c r="L450" s="283">
        <x:f t="shared" si="261"/>
        <x:v>47.052599999999998</x:v>
      </x:c>
      <x:c r="M450" s="283">
        <x:f t="shared" si="261"/>
        <x:v>47.052599999999998</x:v>
      </x:c>
      <x:c r="N450" s="283">
        <x:f t="shared" si="261"/>
        <x:v>47.052599999999998</x:v>
      </x:c>
      <x:c r="O450" s="283">
        <x:f t="shared" si="261"/>
        <x:v>47.052599999999998</x:v>
      </x:c>
      <x:c r="P450" s="283">
        <x:f t="shared" si="261"/>
        <x:v>47.052599999999998</x:v>
      </x:c>
      <x:c r="Q450" s="283">
        <x:f t="shared" si="261"/>
        <x:v>47.052599999999998</x:v>
      </x:c>
      <x:c r="R450" s="283">
        <x:f t="shared" si="261"/>
        <x:v>47.052599999999998</x:v>
      </x:c>
      <x:c r="S450" s="283">
        <x:f t="shared" si="261"/>
        <x:v>47.052599999999998</x:v>
      </x:c>
      <x:c r="T450" s="283">
        <x:f t="shared" si="261"/>
        <x:v>47.052599999999998</x:v>
      </x:c>
      <x:c r="U450" s="283">
        <x:f t="shared" si="261"/>
        <x:v>47.052599999999998</x:v>
      </x:c>
      <x:c r="V450" s="134"/>
      <x:c r="W450" s="1056"/>
    </x:row>
    <x:row r="451" spans="1:23" s="48" customFormat="1" ht="13.5">
      <x:c r="A451" s="76"/>
      <x:c r="B451" s="70" t="s">
        <x:v>388</x:v>
      </x:c>
      <x:c r="C451" s="240"/>
      <x:c r="D451" s="235" t="s">
        <x:v>332</x:v>
      </x:c>
      <x:c r="E451" s="247"/>
      <x:c r="F451" s="248" t="s">
        <x:v>389</x:v>
      </x:c>
      <x:c r="G451" s="236" t="s">
        <x:v>390</x:v>
      </x:c>
      <x:c r="H451" s="249">
        <x:v>1</x:v>
      </x:c>
      <x:c r="I451" s="235" t="s">
        <x:v>387</x:v>
      </x:c>
      <x:c r="J451" s="283">
        <x:f t="shared" ref="J451:U451" si="262">+$I$398*J374</x:f>
        <x:v>54.666900000000005</x:v>
      </x:c>
      <x:c r="K451" s="283">
        <x:f t="shared" si="262"/>
        <x:v>54.666900000000005</x:v>
      </x:c>
      <x:c r="L451" s="283">
        <x:f t="shared" si="262"/>
        <x:v>54.666900000000005</x:v>
      </x:c>
      <x:c r="M451" s="283">
        <x:f t="shared" si="262"/>
        <x:v>54.666900000000005</x:v>
      </x:c>
      <x:c r="N451" s="283">
        <x:f t="shared" si="262"/>
        <x:v>54.666900000000005</x:v>
      </x:c>
      <x:c r="O451" s="283">
        <x:f t="shared" si="262"/>
        <x:v>54.666900000000005</x:v>
      </x:c>
      <x:c r="P451" s="283">
        <x:f t="shared" si="262"/>
        <x:v>54.666900000000005</x:v>
      </x:c>
      <x:c r="Q451" s="283">
        <x:f t="shared" si="262"/>
        <x:v>54.666900000000005</x:v>
      </x:c>
      <x:c r="R451" s="283">
        <x:f t="shared" si="262"/>
        <x:v>54.666900000000005</x:v>
      </x:c>
      <x:c r="S451" s="283">
        <x:f t="shared" si="262"/>
        <x:v>54.666900000000005</x:v>
      </x:c>
      <x:c r="T451" s="283">
        <x:f t="shared" si="262"/>
        <x:v>54.666900000000005</x:v>
      </x:c>
      <x:c r="U451" s="283">
        <x:f t="shared" si="262"/>
        <x:v>54.666900000000005</x:v>
      </x:c>
      <x:c r="V451" s="134"/>
      <x:c r="W451" s="1056"/>
    </x:row>
    <x:row r="452" spans="1:23" s="48" customFormat="1" ht="13.5">
      <x:c r="A452" s="76"/>
      <x:c r="B452" s="70"/>
      <x:c r="C452" s="240"/>
      <x:c r="D452" s="235" t="s">
        <x:v>332</x:v>
      </x:c>
      <x:c r="E452" s="247"/>
      <x:c r="F452" s="248" t="s">
        <x:v>391</x:v>
      </x:c>
      <x:c r="G452" s="236" t="s">
        <x:v>392</x:v>
      </x:c>
      <x:c r="H452" s="249">
        <x:v>2</x:v>
      </x:c>
      <x:c r="I452" s="235" t="s">
        <x:v>387</x:v>
      </x:c>
      <x:c r="J452" s="283">
        <x:f t="shared" ref="J452:U452" si="263">+$I$398*J375</x:f>
        <x:v>42.105600000000003</x:v>
      </x:c>
      <x:c r="K452" s="283">
        <x:f t="shared" si="263"/>
        <x:v>42.105600000000003</x:v>
      </x:c>
      <x:c r="L452" s="283">
        <x:f t="shared" si="263"/>
        <x:v>42.105600000000003</x:v>
      </x:c>
      <x:c r="M452" s="283">
        <x:f t="shared" si="263"/>
        <x:v>42.105600000000003</x:v>
      </x:c>
      <x:c r="N452" s="283">
        <x:f t="shared" si="263"/>
        <x:v>42.105600000000003</x:v>
      </x:c>
      <x:c r="O452" s="283">
        <x:f t="shared" si="263"/>
        <x:v>42.105600000000003</x:v>
      </x:c>
      <x:c r="P452" s="283">
        <x:f t="shared" si="263"/>
        <x:v>42.105600000000003</x:v>
      </x:c>
      <x:c r="Q452" s="283">
        <x:f t="shared" si="263"/>
        <x:v>42.105600000000003</x:v>
      </x:c>
      <x:c r="R452" s="283">
        <x:f t="shared" si="263"/>
        <x:v>42.105600000000003</x:v>
      </x:c>
      <x:c r="S452" s="283">
        <x:f t="shared" si="263"/>
        <x:v>42.105600000000003</x:v>
      </x:c>
      <x:c r="T452" s="283">
        <x:f t="shared" si="263"/>
        <x:v>42.105600000000003</x:v>
      </x:c>
      <x:c r="U452" s="283">
        <x:f t="shared" si="263"/>
        <x:v>42.105600000000003</x:v>
      </x:c>
      <x:c r="V452" s="134"/>
      <x:c r="W452" s="1056"/>
    </x:row>
    <x:row r="453" spans="1:23" s="48" customFormat="1" ht="13.5">
      <x:c r="A453" s="78"/>
      <x:c r="B453" s="79" t="s">
        <x:v>393</x:v>
      </x:c>
      <x:c r="C453" s="240" t="s">
        <x:v>332</x:v>
      </x:c>
      <x:c r="D453" s="250"/>
      <x:c r="E453" s="250"/>
      <x:c r="F453" s="251" t="s">
        <x:v>394</x:v>
      </x:c>
      <x:c r="G453" s="252" t="s">
        <x:v>395</x:v>
      </x:c>
      <x:c r="H453" s="253">
        <x:v>1</x:v>
      </x:c>
      <x:c r="I453" s="235" t="s">
        <x:v>396</x:v>
      </x:c>
      <x:c r="J453" s="1198">
        <x:f>+$L$398*J376</x:f>
        <x:v>7144.2982372831075</x:v>
      </x:c>
      <x:c r="K453" s="1199">
        <x:f t="shared" ref="K453:U453" si="264">+$L$398*K376</x:f>
        <x:v>7144.2982372831075</x:v>
      </x:c>
      <x:c r="L453" s="1199">
        <x:f t="shared" si="264"/>
        <x:v>7144.2982372831075</x:v>
      </x:c>
      <x:c r="M453" s="1199">
        <x:f t="shared" si="264"/>
        <x:v>7144.2982372831075</x:v>
      </x:c>
      <x:c r="N453" s="1199">
        <x:f t="shared" si="264"/>
        <x:v>7144.2982372831075</x:v>
      </x:c>
      <x:c r="O453" s="1199">
        <x:f t="shared" si="264"/>
        <x:v>7144.2982372831075</x:v>
      </x:c>
      <x:c r="P453" s="1199">
        <x:f t="shared" si="264"/>
        <x:v>7144.2982372831075</x:v>
      </x:c>
      <x:c r="Q453" s="1199">
        <x:f t="shared" si="264"/>
        <x:v>7144.2982372831075</x:v>
      </x:c>
      <x:c r="R453" s="1199">
        <x:f t="shared" si="264"/>
        <x:v>7144.2982372831075</x:v>
      </x:c>
      <x:c r="S453" s="1199">
        <x:f t="shared" si="264"/>
        <x:v>7144.2982372831075</x:v>
      </x:c>
      <x:c r="T453" s="1199">
        <x:f t="shared" si="264"/>
        <x:v>7144.2982372831075</x:v>
      </x:c>
      <x:c r="U453" s="1199">
        <x:f t="shared" si="264"/>
        <x:v>7144.2982372831075</x:v>
      </x:c>
      <x:c r="V453" s="134"/>
      <x:c r="W453" s="280"/>
    </x:row>
    <x:row r="454" spans="1:23" s="48" customFormat="1" ht="13.5">
      <x:c r="A454" s="78"/>
      <x:c r="B454" s="80"/>
      <x:c r="C454" s="235" t="s">
        <x:v>332</x:v>
      </x:c>
      <x:c r="D454" s="250"/>
      <x:c r="E454" s="250"/>
      <x:c r="F454" s="251" t="s">
        <x:v>397</x:v>
      </x:c>
      <x:c r="G454" s="252" t="s">
        <x:v>398</x:v>
      </x:c>
      <x:c r="H454" s="251">
        <x:v>1</x:v>
      </x:c>
      <x:c r="I454" s="235" t="s">
        <x:v>396</x:v>
      </x:c>
      <x:c r="J454" s="1198">
        <x:f t="shared" ref="J454:U465" si="265">+$L$398*J377</x:f>
        <x:v>6138.6871889616214</x:v>
      </x:c>
      <x:c r="K454" s="1199">
        <x:f t="shared" si="265"/>
        <x:v>6138.6871889616214</x:v>
      </x:c>
      <x:c r="L454" s="1199">
        <x:f t="shared" si="265"/>
        <x:v>6138.6871889616214</x:v>
      </x:c>
      <x:c r="M454" s="1199">
        <x:f t="shared" si="265"/>
        <x:v>6138.6871889616214</x:v>
      </x:c>
      <x:c r="N454" s="1199">
        <x:f t="shared" si="265"/>
        <x:v>6138.6871889616214</x:v>
      </x:c>
      <x:c r="O454" s="1199">
        <x:f t="shared" si="265"/>
        <x:v>6138.6871889616214</x:v>
      </x:c>
      <x:c r="P454" s="1199">
        <x:f t="shared" si="265"/>
        <x:v>6138.6871889616214</x:v>
      </x:c>
      <x:c r="Q454" s="1199">
        <x:f t="shared" si="265"/>
        <x:v>6138.6871889616214</x:v>
      </x:c>
      <x:c r="R454" s="1199">
        <x:f t="shared" si="265"/>
        <x:v>6138.6871889616214</x:v>
      </x:c>
      <x:c r="S454" s="1199">
        <x:f t="shared" si="265"/>
        <x:v>6138.6871889616214</x:v>
      </x:c>
      <x:c r="T454" s="1199">
        <x:f t="shared" si="265"/>
        <x:v>6138.6871889616214</x:v>
      </x:c>
      <x:c r="U454" s="1199">
        <x:f t="shared" si="265"/>
        <x:v>6138.6871889616214</x:v>
      </x:c>
      <x:c r="V454" s="134"/>
      <x:c r="W454" s="280"/>
    </x:row>
    <x:row r="455" spans="1:23" s="48" customFormat="1" ht="13.5">
      <x:c r="A455" s="76"/>
      <x:c r="B455" s="81"/>
      <x:c r="C455" s="235" t="s">
        <x:v>332</x:v>
      </x:c>
      <x:c r="D455" s="235"/>
      <x:c r="E455" s="247"/>
      <x:c r="F455" s="248" t="s">
        <x:v>399</x:v>
      </x:c>
      <x:c r="G455" s="236" t="s">
        <x:v>400</x:v>
      </x:c>
      <x:c r="H455" s="249">
        <x:v>1</x:v>
      </x:c>
      <x:c r="I455" s="235" t="s">
        <x:v>396</x:v>
      </x:c>
      <x:c r="J455" s="1198">
        <x:f t="shared" si="265"/>
        <x:v>857.03395555555551</x:v>
      </x:c>
      <x:c r="K455" s="1199">
        <x:f t="shared" si="265"/>
        <x:v>857.03395555555551</x:v>
      </x:c>
      <x:c r="L455" s="1199">
        <x:f t="shared" si="265"/>
        <x:v>857.03395555555551</x:v>
      </x:c>
      <x:c r="M455" s="1199">
        <x:f t="shared" si="265"/>
        <x:v>857.03395555555551</x:v>
      </x:c>
      <x:c r="N455" s="1199">
        <x:f t="shared" si="265"/>
        <x:v>857.03395555555551</x:v>
      </x:c>
      <x:c r="O455" s="1199">
        <x:f t="shared" si="265"/>
        <x:v>857.03395555555551</x:v>
      </x:c>
      <x:c r="P455" s="1199">
        <x:f t="shared" si="265"/>
        <x:v>857.03395555555551</x:v>
      </x:c>
      <x:c r="Q455" s="1199">
        <x:f t="shared" si="265"/>
        <x:v>857.03395555555551</x:v>
      </x:c>
      <x:c r="R455" s="1199">
        <x:f t="shared" si="265"/>
        <x:v>857.03395555555551</x:v>
      </x:c>
      <x:c r="S455" s="1199">
        <x:f t="shared" si="265"/>
        <x:v>857.03395555555551</x:v>
      </x:c>
      <x:c r="T455" s="1199">
        <x:f t="shared" si="265"/>
        <x:v>857.03395555555551</x:v>
      </x:c>
      <x:c r="U455" s="1199">
        <x:f t="shared" si="265"/>
        <x:v>857.03395555555551</x:v>
      </x:c>
      <x:c r="V455" s="134"/>
      <x:c r="W455" s="1061"/>
    </x:row>
    <x:row r="456" spans="1:23" s="48" customFormat="1" ht="13.5">
      <x:c r="A456" s="76"/>
      <x:c r="B456" s="80"/>
      <x:c r="C456" s="235" t="s">
        <x:v>332</x:v>
      </x:c>
      <x:c r="D456" s="235"/>
      <x:c r="E456" s="247"/>
      <x:c r="F456" s="248" t="s">
        <x:v>401</x:v>
      </x:c>
      <x:c r="G456" s="236" t="s">
        <x:v>402</x:v>
      </x:c>
      <x:c r="H456" s="249">
        <x:v>2</x:v>
      </x:c>
      <x:c r="I456" s="235" t="s">
        <x:v>396</x:v>
      </x:c>
      <x:c r="J456" s="1198">
        <x:f t="shared" si="265"/>
        <x:v>511.92296296296291</x:v>
      </x:c>
      <x:c r="K456" s="1199">
        <x:f t="shared" si="265"/>
        <x:v>511.92296296296291</x:v>
      </x:c>
      <x:c r="L456" s="1199">
        <x:f t="shared" si="265"/>
        <x:v>511.92296296296291</x:v>
      </x:c>
      <x:c r="M456" s="1199">
        <x:f t="shared" si="265"/>
        <x:v>511.92296296296291</x:v>
      </x:c>
      <x:c r="N456" s="1199">
        <x:f t="shared" si="265"/>
        <x:v>511.92296296296291</x:v>
      </x:c>
      <x:c r="O456" s="1199">
        <x:f t="shared" si="265"/>
        <x:v>511.92296296296291</x:v>
      </x:c>
      <x:c r="P456" s="1199">
        <x:f t="shared" si="265"/>
        <x:v>511.92296296296291</x:v>
      </x:c>
      <x:c r="Q456" s="1199">
        <x:f t="shared" si="265"/>
        <x:v>511.92296296296291</x:v>
      </x:c>
      <x:c r="R456" s="1199">
        <x:f t="shared" si="265"/>
        <x:v>511.92296296296291</x:v>
      </x:c>
      <x:c r="S456" s="1199">
        <x:f t="shared" si="265"/>
        <x:v>511.92296296296291</x:v>
      </x:c>
      <x:c r="T456" s="1199">
        <x:f t="shared" si="265"/>
        <x:v>511.92296296296291</x:v>
      </x:c>
      <x:c r="U456" s="1199">
        <x:f t="shared" si="265"/>
        <x:v>511.92296296296291</x:v>
      </x:c>
      <x:c r="V456" s="134"/>
      <x:c r="W456" s="1061"/>
    </x:row>
    <x:row r="457" spans="1:23" s="48" customFormat="1" ht="13.5">
      <x:c r="A457" s="76"/>
      <x:c r="B457" s="80"/>
      <x:c r="C457" s="235" t="s">
        <x:v>332</x:v>
      </x:c>
      <x:c r="D457" s="256"/>
      <x:c r="E457" s="256"/>
      <x:c r="F457" s="256" t="s">
        <x:v>403</x:v>
      </x:c>
      <x:c r="G457" s="257" t="s">
        <x:v>404</x:v>
      </x:c>
      <x:c r="H457" s="256">
        <x:v>1</x:v>
      </x:c>
      <x:c r="I457" s="235" t="s">
        <x:v>396</x:v>
      </x:c>
      <x:c r="J457" s="1198">
        <x:f t="shared" si="265"/>
        <x:v>1579.2199111111108</x:v>
      </x:c>
      <x:c r="K457" s="1199">
        <x:f t="shared" si="265"/>
        <x:v>1579.2199111111108</x:v>
      </x:c>
      <x:c r="L457" s="1199">
        <x:f t="shared" si="265"/>
        <x:v>1579.2199111111108</x:v>
      </x:c>
      <x:c r="M457" s="1199">
        <x:f t="shared" si="265"/>
        <x:v>1579.2199111111108</x:v>
      </x:c>
      <x:c r="N457" s="1199">
        <x:f t="shared" si="265"/>
        <x:v>1579.2199111111108</x:v>
      </x:c>
      <x:c r="O457" s="1199">
        <x:f t="shared" si="265"/>
        <x:v>1579.2199111111108</x:v>
      </x:c>
      <x:c r="P457" s="1199">
        <x:f t="shared" si="265"/>
        <x:v>1579.2199111111108</x:v>
      </x:c>
      <x:c r="Q457" s="1199">
        <x:f t="shared" si="265"/>
        <x:v>1579.2199111111108</x:v>
      </x:c>
      <x:c r="R457" s="1199">
        <x:f t="shared" si="265"/>
        <x:v>1579.2199111111108</x:v>
      </x:c>
      <x:c r="S457" s="1199">
        <x:f t="shared" si="265"/>
        <x:v>1579.2199111111108</x:v>
      </x:c>
      <x:c r="T457" s="1199">
        <x:f t="shared" si="265"/>
        <x:v>1579.2199111111108</x:v>
      </x:c>
      <x:c r="U457" s="1199">
        <x:f t="shared" si="265"/>
        <x:v>1579.2199111111108</x:v>
      </x:c>
      <x:c r="V457" s="134"/>
      <x:c r="W457" s="1062"/>
    </x:row>
    <x:row r="458" spans="1:23" s="48" customFormat="1" ht="13.5">
      <x:c r="A458" s="78"/>
      <x:c r="B458" s="80"/>
      <x:c r="C458" s="240" t="s">
        <x:v>332</x:v>
      </x:c>
      <x:c r="D458" s="250"/>
      <x:c r="E458" s="250"/>
      <x:c r="F458" s="251" t="s">
        <x:v>405</x:v>
      </x:c>
      <x:c r="G458" s="252" t="s">
        <x:v>406</x:v>
      </x:c>
      <x:c r="H458" s="251">
        <x:v>1</x:v>
      </x:c>
      <x:c r="I458" s="235" t="s">
        <x:v>396</x:v>
      </x:c>
      <x:c r="J458" s="1198">
        <x:f t="shared" si="265"/>
        <x:v>643.27490370370367</x:v>
      </x:c>
      <x:c r="K458" s="1199">
        <x:f t="shared" si="265"/>
        <x:v>643.27490370370367</x:v>
      </x:c>
      <x:c r="L458" s="1199">
        <x:f t="shared" si="265"/>
        <x:v>643.27490370370367</x:v>
      </x:c>
      <x:c r="M458" s="1199">
        <x:f t="shared" si="265"/>
        <x:v>643.27490370370367</x:v>
      </x:c>
      <x:c r="N458" s="1199">
        <x:f t="shared" si="265"/>
        <x:v>643.27490370370367</x:v>
      </x:c>
      <x:c r="O458" s="1199">
        <x:f t="shared" si="265"/>
        <x:v>643.27490370370367</x:v>
      </x:c>
      <x:c r="P458" s="1199">
        <x:f t="shared" si="265"/>
        <x:v>643.27490370370367</x:v>
      </x:c>
      <x:c r="Q458" s="1199">
        <x:f t="shared" si="265"/>
        <x:v>643.27490370370367</x:v>
      </x:c>
      <x:c r="R458" s="1199">
        <x:f t="shared" si="265"/>
        <x:v>643.27490370370367</x:v>
      </x:c>
      <x:c r="S458" s="1199">
        <x:f t="shared" si="265"/>
        <x:v>643.27490370370367</x:v>
      </x:c>
      <x:c r="T458" s="1199">
        <x:f t="shared" si="265"/>
        <x:v>643.27490370370367</x:v>
      </x:c>
      <x:c r="U458" s="1199">
        <x:f t="shared" si="265"/>
        <x:v>643.27490370370367</x:v>
      </x:c>
      <x:c r="V458" s="134"/>
      <x:c r="W458" s="1063"/>
    </x:row>
    <x:row r="459" spans="1:23" s="48" customFormat="1" ht="13.5">
      <x:c r="A459" s="78"/>
      <x:c r="B459" s="80"/>
      <x:c r="C459" s="235" t="s">
        <x:v>332</x:v>
      </x:c>
      <x:c r="D459" s="250"/>
      <x:c r="E459" s="250"/>
      <x:c r="F459" s="251" t="s">
        <x:v>407</x:v>
      </x:c>
      <x:c r="G459" s="252" t="s">
        <x:v>408</x:v>
      </x:c>
      <x:c r="H459" s="251">
        <x:v>1</x:v>
      </x:c>
      <x:c r="I459" s="235" t="s">
        <x:v>396</x:v>
      </x:c>
      <x:c r="J459" s="1198">
        <x:f t="shared" si="265"/>
        <x:v>1313.5194074074072</x:v>
      </x:c>
      <x:c r="K459" s="1199">
        <x:f t="shared" si="265"/>
        <x:v>1313.5194074074072</x:v>
      </x:c>
      <x:c r="L459" s="1199">
        <x:f t="shared" si="265"/>
        <x:v>1313.5194074074072</x:v>
      </x:c>
      <x:c r="M459" s="1199">
        <x:f t="shared" si="265"/>
        <x:v>1313.5194074074072</x:v>
      </x:c>
      <x:c r="N459" s="1199">
        <x:f t="shared" si="265"/>
        <x:v>1313.5194074074072</x:v>
      </x:c>
      <x:c r="O459" s="1199">
        <x:f t="shared" si="265"/>
        <x:v>1313.5194074074072</x:v>
      </x:c>
      <x:c r="P459" s="1199">
        <x:f t="shared" si="265"/>
        <x:v>1313.5194074074072</x:v>
      </x:c>
      <x:c r="Q459" s="1199">
        <x:f t="shared" si="265"/>
        <x:v>1313.5194074074072</x:v>
      </x:c>
      <x:c r="R459" s="1199">
        <x:f t="shared" si="265"/>
        <x:v>1313.5194074074072</x:v>
      </x:c>
      <x:c r="S459" s="1199">
        <x:f t="shared" si="265"/>
        <x:v>1313.5194074074072</x:v>
      </x:c>
      <x:c r="T459" s="1199">
        <x:f t="shared" si="265"/>
        <x:v>1313.5194074074072</x:v>
      </x:c>
      <x:c r="U459" s="1199">
        <x:f t="shared" si="265"/>
        <x:v>1313.5194074074072</x:v>
      </x:c>
      <x:c r="V459" s="134"/>
      <x:c r="W459" s="1063"/>
    </x:row>
    <x:row r="460" spans="1:23" s="48" customFormat="1" ht="13.5">
      <x:c r="A460" s="78"/>
      <x:c r="B460" s="80"/>
      <x:c r="C460" s="240" t="s">
        <x:v>332</x:v>
      </x:c>
      <x:c r="D460" s="259"/>
      <x:c r="E460" s="259"/>
      <x:c r="F460" s="253" t="s">
        <x:v>409</x:v>
      </x:c>
      <x:c r="G460" s="260" t="s">
        <x:v>410</x:v>
      </x:c>
      <x:c r="H460" s="253">
        <x:v>1</x:v>
      </x:c>
      <x:c r="I460" s="240" t="s">
        <x:v>396</x:v>
      </x:c>
      <x:c r="J460" s="1198">
        <x:f t="shared" si="265"/>
        <x:v>991.88195555555546</x:v>
      </x:c>
      <x:c r="K460" s="1199">
        <x:f t="shared" si="265"/>
        <x:v>991.88195555555546</x:v>
      </x:c>
      <x:c r="L460" s="1199">
        <x:f t="shared" si="265"/>
        <x:v>991.88195555555546</x:v>
      </x:c>
      <x:c r="M460" s="1199">
        <x:f t="shared" si="265"/>
        <x:v>991.88195555555546</x:v>
      </x:c>
      <x:c r="N460" s="1199">
        <x:f t="shared" si="265"/>
        <x:v>991.88195555555546</x:v>
      </x:c>
      <x:c r="O460" s="1199">
        <x:f t="shared" si="265"/>
        <x:v>991.88195555555546</x:v>
      </x:c>
      <x:c r="P460" s="1199">
        <x:f t="shared" si="265"/>
        <x:v>991.88195555555546</x:v>
      </x:c>
      <x:c r="Q460" s="1199">
        <x:f t="shared" si="265"/>
        <x:v>991.88195555555546</x:v>
      </x:c>
      <x:c r="R460" s="1199">
        <x:f t="shared" si="265"/>
        <x:v>991.88195555555546</x:v>
      </x:c>
      <x:c r="S460" s="1199">
        <x:f t="shared" si="265"/>
        <x:v>991.88195555555546</x:v>
      </x:c>
      <x:c r="T460" s="1199">
        <x:f t="shared" si="265"/>
        <x:v>991.88195555555546</x:v>
      </x:c>
      <x:c r="U460" s="1199">
        <x:f t="shared" si="265"/>
        <x:v>991.88195555555546</x:v>
      </x:c>
      <x:c r="V460" s="134"/>
      <x:c r="W460" s="280"/>
    </x:row>
    <x:row r="461" spans="1:23" s="48" customFormat="1" ht="13.5">
      <x:c r="A461" s="78"/>
      <x:c r="B461" s="80"/>
      <x:c r="C461" s="235" t="s">
        <x:v>332</x:v>
      </x:c>
      <x:c r="D461" s="250"/>
      <x:c r="E461" s="250"/>
      <x:c r="F461" s="251" t="s">
        <x:v>353</x:v>
      </x:c>
      <x:c r="G461" s="252" t="s">
        <x:v>411</x:v>
      </x:c>
      <x:c r="H461" s="251">
        <x:v>3</x:v>
      </x:c>
      <x:c r="I461" s="251" t="s">
        <x:v>1089</x:v>
      </x:c>
      <x:c r="J461" s="1171">
        <x:f>+$I$398*J384</x:f>
        <x:v>638.3753956482974</x:v>
      </x:c>
      <x:c r="K461" s="1173">
        <x:f t="shared" ref="K461:U461" si="266">+$I$398*K384</x:f>
        <x:v>638.3753956482974</x:v>
      </x:c>
      <x:c r="L461" s="1173">
        <x:f t="shared" si="266"/>
        <x:v>638.3753956482974</x:v>
      </x:c>
      <x:c r="M461" s="1173">
        <x:f t="shared" si="266"/>
        <x:v>638.3753956482974</x:v>
      </x:c>
      <x:c r="N461" s="1173">
        <x:f t="shared" si="266"/>
        <x:v>638.3753956482974</x:v>
      </x:c>
      <x:c r="O461" s="1173">
        <x:f t="shared" si="266"/>
        <x:v>638.3753956482974</x:v>
      </x:c>
      <x:c r="P461" s="1173">
        <x:f t="shared" si="266"/>
        <x:v>638.3753956482974</x:v>
      </x:c>
      <x:c r="Q461" s="1173">
        <x:f t="shared" si="266"/>
        <x:v>638.3753956482974</x:v>
      </x:c>
      <x:c r="R461" s="1173">
        <x:f t="shared" si="266"/>
        <x:v>638.3753956482974</x:v>
      </x:c>
      <x:c r="S461" s="1173">
        <x:f t="shared" si="266"/>
        <x:v>638.3753956482974</x:v>
      </x:c>
      <x:c r="T461" s="1173">
        <x:f t="shared" si="266"/>
        <x:v>638.3753956482974</x:v>
      </x:c>
      <x:c r="U461" s="1173">
        <x:f t="shared" si="266"/>
        <x:v>638.3753956482974</x:v>
      </x:c>
      <x:c r="V461" s="134"/>
      <x:c r="W461" s="280"/>
    </x:row>
    <x:row r="462" spans="1:23" s="48" customFormat="1" ht="13.5">
      <x:c r="A462" s="78"/>
      <x:c r="B462" s="80"/>
      <x:c r="C462" s="240" t="s">
        <x:v>332</x:v>
      </x:c>
      <x:c r="D462" s="250"/>
      <x:c r="E462" s="250"/>
      <x:c r="F462" s="251" t="s">
        <x:v>412</x:v>
      </x:c>
      <x:c r="G462" s="252" t="s">
        <x:v>413</x:v>
      </x:c>
      <x:c r="H462" s="251">
        <x:v>1</x:v>
      </x:c>
      <x:c r="I462" s="251" t="s">
        <x:v>1089</x:v>
      </x:c>
      <x:c r="J462" s="1171">
        <x:f t="shared" ref="J462:U462" si="267">+$I$398*J385</x:f>
        <x:v>868.54207720250713</x:v>
      </x:c>
      <x:c r="K462" s="1173">
        <x:f t="shared" si="267"/>
        <x:v>868.54207720250713</x:v>
      </x:c>
      <x:c r="L462" s="1173">
        <x:f t="shared" si="267"/>
        <x:v>868.54207720250713</x:v>
      </x:c>
      <x:c r="M462" s="1173">
        <x:f t="shared" si="267"/>
        <x:v>868.54207720250713</x:v>
      </x:c>
      <x:c r="N462" s="1173">
        <x:f t="shared" si="267"/>
        <x:v>868.54207720250713</x:v>
      </x:c>
      <x:c r="O462" s="1173">
        <x:f t="shared" si="267"/>
        <x:v>868.54207720250713</x:v>
      </x:c>
      <x:c r="P462" s="1173">
        <x:f t="shared" si="267"/>
        <x:v>868.54207720250713</x:v>
      </x:c>
      <x:c r="Q462" s="1173">
        <x:f t="shared" si="267"/>
        <x:v>868.54207720250713</x:v>
      </x:c>
      <x:c r="R462" s="1173">
        <x:f t="shared" si="267"/>
        <x:v>868.54207720250713</x:v>
      </x:c>
      <x:c r="S462" s="1173">
        <x:f t="shared" si="267"/>
        <x:v>868.54207720250713</x:v>
      </x:c>
      <x:c r="T462" s="1173">
        <x:f t="shared" si="267"/>
        <x:v>868.54207720250713</x:v>
      </x:c>
      <x:c r="U462" s="1173">
        <x:f t="shared" si="267"/>
        <x:v>868.54207720250713</x:v>
      </x:c>
      <x:c r="V462" s="134"/>
      <x:c r="W462" s="280"/>
    </x:row>
    <x:row r="463" spans="1:23" s="48" customFormat="1" ht="13.5">
      <x:c r="A463" s="78"/>
      <x:c r="B463" s="80"/>
      <x:c r="C463" s="235" t="s">
        <x:v>332</x:v>
      </x:c>
      <x:c r="D463" s="250"/>
      <x:c r="E463" s="250"/>
      <x:c r="F463" s="251" t="s">
        <x:v>358</x:v>
      </x:c>
      <x:c r="G463" s="252" t="s">
        <x:v>414</x:v>
      </x:c>
      <x:c r="H463" s="253">
        <x:v>1</x:v>
      </x:c>
      <x:c r="I463" s="251" t="s">
        <x:v>1089</x:v>
      </x:c>
      <x:c r="J463" s="1171">
        <x:f t="shared" ref="J463:U463" si="268">+$I$398*J386</x:f>
        <x:v>805.23153479705809</x:v>
      </x:c>
      <x:c r="K463" s="1173">
        <x:f t="shared" si="268"/>
        <x:v>805.23153479705809</x:v>
      </x:c>
      <x:c r="L463" s="1173">
        <x:f t="shared" si="268"/>
        <x:v>805.23153479705809</x:v>
      </x:c>
      <x:c r="M463" s="1173">
        <x:f t="shared" si="268"/>
        <x:v>805.23153479705809</x:v>
      </x:c>
      <x:c r="N463" s="1173">
        <x:f t="shared" si="268"/>
        <x:v>805.23153479705809</x:v>
      </x:c>
      <x:c r="O463" s="1173">
        <x:f t="shared" si="268"/>
        <x:v>805.23153479705809</x:v>
      </x:c>
      <x:c r="P463" s="1173">
        <x:f t="shared" si="268"/>
        <x:v>805.23153479705809</x:v>
      </x:c>
      <x:c r="Q463" s="1173">
        <x:f t="shared" si="268"/>
        <x:v>805.23153479705809</x:v>
      </x:c>
      <x:c r="R463" s="1173">
        <x:f t="shared" si="268"/>
        <x:v>805.23153479705809</x:v>
      </x:c>
      <x:c r="S463" s="1173">
        <x:f t="shared" si="268"/>
        <x:v>805.23153479705809</x:v>
      </x:c>
      <x:c r="T463" s="1173">
        <x:f t="shared" si="268"/>
        <x:v>805.23153479705809</x:v>
      </x:c>
      <x:c r="U463" s="1173">
        <x:f t="shared" si="268"/>
        <x:v>805.23153479705809</x:v>
      </x:c>
      <x:c r="V463" s="134"/>
      <x:c r="W463" s="280"/>
    </x:row>
    <x:row r="464" spans="1:23" s="48" customFormat="1" ht="13.5">
      <x:c r="A464" s="78"/>
      <x:c r="B464" s="80"/>
      <x:c r="C464" s="240" t="s">
        <x:v>332</x:v>
      </x:c>
      <x:c r="D464" s="250"/>
      <x:c r="E464" s="250"/>
      <x:c r="F464" s="251" t="s">
        <x:v>415</x:v>
      </x:c>
      <x:c r="G464" s="252" t="s">
        <x:v>416</x:v>
      </x:c>
      <x:c r="H464" s="251">
        <x:v>1</x:v>
      </x:c>
      <x:c r="I464" s="251" t="s">
        <x:v>1089</x:v>
      </x:c>
      <x:c r="J464" s="1171">
        <x:f t="shared" ref="J464:U464" si="269">+$I$398*J387</x:f>
        <x:v>856.7199577074432</x:v>
      </x:c>
      <x:c r="K464" s="1173">
        <x:f t="shared" si="269"/>
        <x:v>856.7199577074432</x:v>
      </x:c>
      <x:c r="L464" s="1173">
        <x:f t="shared" si="269"/>
        <x:v>856.7199577074432</x:v>
      </x:c>
      <x:c r="M464" s="1173">
        <x:f t="shared" si="269"/>
        <x:v>856.7199577074432</x:v>
      </x:c>
      <x:c r="N464" s="1173">
        <x:f t="shared" si="269"/>
        <x:v>856.7199577074432</x:v>
      </x:c>
      <x:c r="O464" s="1173">
        <x:f t="shared" si="269"/>
        <x:v>856.7199577074432</x:v>
      </x:c>
      <x:c r="P464" s="1173">
        <x:f t="shared" si="269"/>
        <x:v>856.7199577074432</x:v>
      </x:c>
      <x:c r="Q464" s="1173">
        <x:f t="shared" si="269"/>
        <x:v>856.7199577074432</x:v>
      </x:c>
      <x:c r="R464" s="1173">
        <x:f t="shared" si="269"/>
        <x:v>856.7199577074432</x:v>
      </x:c>
      <x:c r="S464" s="1173">
        <x:f t="shared" si="269"/>
        <x:v>856.7199577074432</x:v>
      </x:c>
      <x:c r="T464" s="1173">
        <x:f t="shared" si="269"/>
        <x:v>856.7199577074432</x:v>
      </x:c>
      <x:c r="U464" s="1173">
        <x:f t="shared" si="269"/>
        <x:v>856.7199577074432</x:v>
      </x:c>
      <x:c r="V464" s="134"/>
      <x:c r="W464" s="280"/>
    </x:row>
    <x:row r="465" spans="1:23" s="48" customFormat="1" ht="13.5">
      <x:c r="A465" s="78"/>
      <x:c r="B465" s="80"/>
      <x:c r="C465" s="240" t="s">
        <x:v>332</x:v>
      </x:c>
      <x:c r="D465" s="259"/>
      <x:c r="E465" s="259"/>
      <x:c r="F465" s="253" t="s">
        <x:v>417</x:v>
      </x:c>
      <x:c r="G465" s="260" t="s">
        <x:v>418</x:v>
      </x:c>
      <x:c r="H465" s="253">
        <x:v>1</x:v>
      </x:c>
      <x:c r="I465" s="240" t="s">
        <x:v>396</x:v>
      </x:c>
      <x:c r="J465" s="1198">
        <x:f t="shared" si="265"/>
        <x:v>1320.0027540673777</x:v>
      </x:c>
      <x:c r="K465" s="1200">
        <x:f t="shared" si="265"/>
        <x:v>1320.0027540673777</x:v>
      </x:c>
      <x:c r="L465" s="1200">
        <x:f t="shared" si="265"/>
        <x:v>1320.0027540673777</x:v>
      </x:c>
      <x:c r="M465" s="1200">
        <x:f t="shared" si="265"/>
        <x:v>1320.0027540673777</x:v>
      </x:c>
      <x:c r="N465" s="1200">
        <x:f t="shared" si="265"/>
        <x:v>1320.0027540673777</x:v>
      </x:c>
      <x:c r="O465" s="1200">
        <x:f t="shared" si="265"/>
        <x:v>1320.0027540673777</x:v>
      </x:c>
      <x:c r="P465" s="1200">
        <x:f t="shared" si="265"/>
        <x:v>1320.0027540673777</x:v>
      </x:c>
      <x:c r="Q465" s="1200">
        <x:f t="shared" si="265"/>
        <x:v>1320.0027540673777</x:v>
      </x:c>
      <x:c r="R465" s="1200">
        <x:f t="shared" si="265"/>
        <x:v>1320.0027540673777</x:v>
      </x:c>
      <x:c r="S465" s="1200">
        <x:f t="shared" si="265"/>
        <x:v>1320.0027540673777</x:v>
      </x:c>
      <x:c r="T465" s="1200">
        <x:f t="shared" si="265"/>
        <x:v>1320.0027540673777</x:v>
      </x:c>
      <x:c r="U465" s="1200">
        <x:f t="shared" si="265"/>
        <x:v>1320.0027540673777</x:v>
      </x:c>
      <x:c r="V465" s="136"/>
      <x:c r="W465" s="280"/>
    </x:row>
    <x:row r="466" spans="1:23" s="48" customFormat="1" ht="13.5">
      <x:c r="A466" s="258"/>
      <x:c r="B466" s="1218" t="s">
        <x:v>1046</x:v>
      </x:c>
      <x:c r="C466" s="235"/>
      <x:c r="D466" s="235" t="s">
        <x:v>332</x:v>
      </x:c>
      <x:c r="E466" s="250"/>
      <x:c r="F466" s="251" t="s">
        <x:v>1047</x:v>
      </x:c>
      <x:c r="G466" s="252" t="s">
        <x:v>386</x:v>
      </x:c>
      <x:c r="H466" s="251">
        <x:v>1</x:v>
      </x:c>
      <x:c r="I466" s="251" t="s">
        <x:v>1089</x:v>
      </x:c>
      <x:c r="J466" s="288">
        <x:f t="shared" ref="J466:U466" si="270">+$I$398*J389</x:f>
        <x:v>47.052599999999998</x:v>
      </x:c>
      <x:c r="K466" s="288">
        <x:f t="shared" si="270"/>
        <x:v>47.052599999999998</x:v>
      </x:c>
      <x:c r="L466" s="288">
        <x:f t="shared" si="270"/>
        <x:v>47.052599999999998</x:v>
      </x:c>
      <x:c r="M466" s="288">
        <x:f t="shared" si="270"/>
        <x:v>47.052599999999998</x:v>
      </x:c>
      <x:c r="N466" s="288">
        <x:f t="shared" si="270"/>
        <x:v>47.052599999999998</x:v>
      </x:c>
      <x:c r="O466" s="288">
        <x:f t="shared" si="270"/>
        <x:v>47.052599999999998</x:v>
      </x:c>
      <x:c r="P466" s="288">
        <x:f t="shared" si="270"/>
        <x:v>47.052599999999998</x:v>
      </x:c>
      <x:c r="Q466" s="288">
        <x:f t="shared" si="270"/>
        <x:v>47.052599999999998</x:v>
      </x:c>
      <x:c r="R466" s="288">
        <x:f t="shared" si="270"/>
        <x:v>47.052599999999998</x:v>
      </x:c>
      <x:c r="S466" s="288">
        <x:f t="shared" si="270"/>
        <x:v>47.052599999999998</x:v>
      </x:c>
      <x:c r="T466" s="288">
        <x:f t="shared" si="270"/>
        <x:v>47.052599999999998</x:v>
      </x:c>
      <x:c r="U466" s="288">
        <x:f t="shared" si="270"/>
        <x:v>47.052599999999998</x:v>
      </x:c>
      <x:c r="V466" s="65"/>
      <x:c r="W466" s="1063"/>
    </x:row>
    <x:row r="467" spans="1:23" s="48" customFormat="1" ht="13.5">
      <x:c r="A467" s="258"/>
      <x:c r="B467" s="1219"/>
      <x:c r="C467" s="235"/>
      <x:c r="D467" s="235" t="s">
        <x:v>332</x:v>
      </x:c>
      <x:c r="E467" s="250"/>
      <x:c r="F467" s="263" t="s">
        <x:v>1048</x:v>
      </x:c>
      <x:c r="G467" s="252" t="s">
        <x:v>390</x:v>
      </x:c>
      <x:c r="H467" s="251">
        <x:v>1</x:v>
      </x:c>
      <x:c r="I467" s="251" t="s">
        <x:v>1089</x:v>
      </x:c>
      <x:c r="J467" s="288">
        <x:f t="shared" ref="J467:U467" si="271">+$I$398*J390</x:f>
        <x:v>54.666900000000005</x:v>
      </x:c>
      <x:c r="K467" s="288">
        <x:f t="shared" si="271"/>
        <x:v>54.666900000000005</x:v>
      </x:c>
      <x:c r="L467" s="288">
        <x:f t="shared" si="271"/>
        <x:v>54.666900000000005</x:v>
      </x:c>
      <x:c r="M467" s="288">
        <x:f t="shared" si="271"/>
        <x:v>54.666900000000005</x:v>
      </x:c>
      <x:c r="N467" s="288">
        <x:f t="shared" si="271"/>
        <x:v>54.666900000000005</x:v>
      </x:c>
      <x:c r="O467" s="288">
        <x:f t="shared" si="271"/>
        <x:v>54.666900000000005</x:v>
      </x:c>
      <x:c r="P467" s="288">
        <x:f t="shared" si="271"/>
        <x:v>54.666900000000005</x:v>
      </x:c>
      <x:c r="Q467" s="288">
        <x:f t="shared" si="271"/>
        <x:v>54.666900000000005</x:v>
      </x:c>
      <x:c r="R467" s="288">
        <x:f t="shared" si="271"/>
        <x:v>54.666900000000005</x:v>
      </x:c>
      <x:c r="S467" s="288">
        <x:f t="shared" si="271"/>
        <x:v>54.666900000000005</x:v>
      </x:c>
      <x:c r="T467" s="288">
        <x:f t="shared" si="271"/>
        <x:v>54.666900000000005</x:v>
      </x:c>
      <x:c r="U467" s="288">
        <x:f t="shared" si="271"/>
        <x:v>54.666900000000005</x:v>
      </x:c>
      <x:c r="V467" s="65"/>
      <x:c r="W467" s="1063"/>
    </x:row>
    <x:row r="468" spans="1:23" s="48" customFormat="1" ht="13.5">
      <x:c r="A468" s="258"/>
      <x:c r="B468" s="1219"/>
      <x:c r="C468" s="235"/>
      <x:c r="D468" s="235" t="s">
        <x:v>332</x:v>
      </x:c>
      <x:c r="E468" s="250"/>
      <x:c r="F468" s="251" t="s">
        <x:v>1049</x:v>
      </x:c>
      <x:c r="G468" s="252" t="s">
        <x:v>1050</x:v>
      </x:c>
      <x:c r="H468" s="251">
        <x:v>2</x:v>
      </x:c>
      <x:c r="I468" s="251" t="s">
        <x:v>1089</x:v>
      </x:c>
      <x:c r="J468" s="288">
        <x:f t="shared" ref="J468:U468" si="272">+$I$398*J391</x:f>
        <x:v>42.105600000000003</x:v>
      </x:c>
      <x:c r="K468" s="288">
        <x:f t="shared" si="272"/>
        <x:v>42.105600000000003</x:v>
      </x:c>
      <x:c r="L468" s="288">
        <x:f t="shared" si="272"/>
        <x:v>42.105600000000003</x:v>
      </x:c>
      <x:c r="M468" s="288">
        <x:f t="shared" si="272"/>
        <x:v>42.105600000000003</x:v>
      </x:c>
      <x:c r="N468" s="288">
        <x:f t="shared" si="272"/>
        <x:v>42.105600000000003</x:v>
      </x:c>
      <x:c r="O468" s="288">
        <x:f t="shared" si="272"/>
        <x:v>42.105600000000003</x:v>
      </x:c>
      <x:c r="P468" s="288">
        <x:f t="shared" si="272"/>
        <x:v>42.105600000000003</x:v>
      </x:c>
      <x:c r="Q468" s="288">
        <x:f t="shared" si="272"/>
        <x:v>42.105600000000003</x:v>
      </x:c>
      <x:c r="R468" s="288">
        <x:f t="shared" si="272"/>
        <x:v>42.105600000000003</x:v>
      </x:c>
      <x:c r="S468" s="288">
        <x:f t="shared" si="272"/>
        <x:v>42.105600000000003</x:v>
      </x:c>
      <x:c r="T468" s="288">
        <x:f t="shared" si="272"/>
        <x:v>42.105600000000003</x:v>
      </x:c>
      <x:c r="U468" s="288">
        <x:f t="shared" si="272"/>
        <x:v>42.105600000000003</x:v>
      </x:c>
      <x:c r="V468" s="65"/>
      <x:c r="W468" s="1063"/>
    </x:row>
    <x:row r="469" spans="1:23" s="48" customFormat="1" ht="13.5">
      <x:c r="A469" s="258"/>
      <x:c r="B469" s="1219"/>
      <x:c r="C469" s="235"/>
      <x:c r="D469" s="235" t="s">
        <x:v>332</x:v>
      </x:c>
      <x:c r="E469" s="250"/>
      <x:c r="F469" s="251" t="s">
        <x:v>1051</x:v>
      </x:c>
      <x:c r="G469" s="252" t="s">
        <x:v>1052</x:v>
      </x:c>
      <x:c r="H469" s="251">
        <x:v>4</x:v>
      </x:c>
      <x:c r="I469" s="251" t="s">
        <x:v>1089</x:v>
      </x:c>
      <x:c r="J469" s="288">
        <x:f t="shared" ref="J469:U469" si="273">+$I$398*J392</x:f>
        <x:v>48.7254</x:v>
      </x:c>
      <x:c r="K469" s="288">
        <x:f t="shared" si="273"/>
        <x:v>48.7254</x:v>
      </x:c>
      <x:c r="L469" s="288">
        <x:f t="shared" si="273"/>
        <x:v>48.7254</x:v>
      </x:c>
      <x:c r="M469" s="288">
        <x:f t="shared" si="273"/>
        <x:v>48.7254</x:v>
      </x:c>
      <x:c r="N469" s="288">
        <x:f t="shared" si="273"/>
        <x:v>48.7254</x:v>
      </x:c>
      <x:c r="O469" s="288">
        <x:f t="shared" si="273"/>
        <x:v>48.7254</x:v>
      </x:c>
      <x:c r="P469" s="288">
        <x:f t="shared" si="273"/>
        <x:v>48.7254</x:v>
      </x:c>
      <x:c r="Q469" s="288">
        <x:f t="shared" si="273"/>
        <x:v>48.7254</x:v>
      </x:c>
      <x:c r="R469" s="288">
        <x:f t="shared" si="273"/>
        <x:v>48.7254</x:v>
      </x:c>
      <x:c r="S469" s="288">
        <x:f t="shared" si="273"/>
        <x:v>48.7254</x:v>
      </x:c>
      <x:c r="T469" s="288">
        <x:f t="shared" si="273"/>
        <x:v>48.7254</x:v>
      </x:c>
      <x:c r="U469" s="288">
        <x:f t="shared" si="273"/>
        <x:v>48.7254</x:v>
      </x:c>
      <x:c r="V469" s="65"/>
      <x:c r="W469" s="1063"/>
    </x:row>
    <x:row r="470" spans="1:23" s="48" customFormat="1" ht="13.5">
      <x:c r="A470" s="258"/>
      <x:c r="B470" s="1219"/>
      <x:c r="C470" s="235"/>
      <x:c r="D470" s="235" t="s">
        <x:v>332</x:v>
      </x:c>
      <x:c r="E470" s="250"/>
      <x:c r="F470" s="251" t="s">
        <x:v>1053</x:v>
      </x:c>
      <x:c r="G470" s="252" t="s">
        <x:v>1054</x:v>
      </x:c>
      <x:c r="H470" s="251">
        <x:v>1</x:v>
      </x:c>
      <x:c r="I470" s="251" t="s">
        <x:v>1089</x:v>
      </x:c>
      <x:c r="J470" s="288">
        <x:f t="shared" ref="J470:U470" si="274">+$I$398*J393</x:f>
        <x:v>29.161799999999999</x:v>
      </x:c>
      <x:c r="K470" s="288">
        <x:f t="shared" si="274"/>
        <x:v>29.161799999999999</x:v>
      </x:c>
      <x:c r="L470" s="288">
        <x:f t="shared" si="274"/>
        <x:v>29.161799999999999</x:v>
      </x:c>
      <x:c r="M470" s="288">
        <x:f t="shared" si="274"/>
        <x:v>29.161799999999999</x:v>
      </x:c>
      <x:c r="N470" s="288">
        <x:f t="shared" si="274"/>
        <x:v>29.161799999999999</x:v>
      </x:c>
      <x:c r="O470" s="288">
        <x:f t="shared" si="274"/>
        <x:v>29.161799999999999</x:v>
      </x:c>
      <x:c r="P470" s="288">
        <x:f t="shared" si="274"/>
        <x:v>29.161799999999999</x:v>
      </x:c>
      <x:c r="Q470" s="288">
        <x:f t="shared" si="274"/>
        <x:v>29.161799999999999</x:v>
      </x:c>
      <x:c r="R470" s="288">
        <x:f t="shared" si="274"/>
        <x:v>29.161799999999999</x:v>
      </x:c>
      <x:c r="S470" s="288">
        <x:f t="shared" si="274"/>
        <x:v>29.161799999999999</x:v>
      </x:c>
      <x:c r="T470" s="288">
        <x:f t="shared" si="274"/>
        <x:v>29.161799999999999</x:v>
      </x:c>
      <x:c r="U470" s="288">
        <x:f t="shared" si="274"/>
        <x:v>29.161799999999999</x:v>
      </x:c>
      <x:c r="V470" s="65"/>
      <x:c r="W470" s="1063"/>
    </x:row>
    <x:row r="471" spans="1:23" s="48" customFormat="1" ht="13.5">
      <x:c r="A471" s="258"/>
      <x:c r="B471" s="1219"/>
      <x:c r="C471" s="235"/>
      <x:c r="D471" s="235" t="s">
        <x:v>332</x:v>
      </x:c>
      <x:c r="E471" s="250"/>
      <x:c r="F471" s="251" t="s">
        <x:v>1055</x:v>
      </x:c>
      <x:c r="G471" s="252" t="s">
        <x:v>1056</x:v>
      </x:c>
      <x:c r="H471" s="251">
        <x:v>2</x:v>
      </x:c>
      <x:c r="I471" s="251" t="s">
        <x:v>1089</x:v>
      </x:c>
      <x:c r="J471" s="288">
        <x:f t="shared" ref="J471:U471" si="275">+$I$398*J394</x:f>
        <x:v>51.617100000000001</x:v>
      </x:c>
      <x:c r="K471" s="288">
        <x:f t="shared" si="275"/>
        <x:v>51.617100000000001</x:v>
      </x:c>
      <x:c r="L471" s="288">
        <x:f t="shared" si="275"/>
        <x:v>51.617100000000001</x:v>
      </x:c>
      <x:c r="M471" s="288">
        <x:f t="shared" si="275"/>
        <x:v>51.617100000000001</x:v>
      </x:c>
      <x:c r="N471" s="288">
        <x:f t="shared" si="275"/>
        <x:v>51.617100000000001</x:v>
      </x:c>
      <x:c r="O471" s="288">
        <x:f t="shared" si="275"/>
        <x:v>51.617100000000001</x:v>
      </x:c>
      <x:c r="P471" s="288">
        <x:f t="shared" si="275"/>
        <x:v>51.617100000000001</x:v>
      </x:c>
      <x:c r="Q471" s="288">
        <x:f t="shared" si="275"/>
        <x:v>51.617100000000001</x:v>
      </x:c>
      <x:c r="R471" s="288">
        <x:f t="shared" si="275"/>
        <x:v>51.617100000000001</x:v>
      </x:c>
      <x:c r="S471" s="288">
        <x:f t="shared" si="275"/>
        <x:v>51.617100000000001</x:v>
      </x:c>
      <x:c r="T471" s="288">
        <x:f t="shared" si="275"/>
        <x:v>51.617100000000001</x:v>
      </x:c>
      <x:c r="U471" s="288">
        <x:f t="shared" si="275"/>
        <x:v>51.617100000000001</x:v>
      </x:c>
      <x:c r="V471" s="65"/>
      <x:c r="W471" s="1063"/>
    </x:row>
    <x:row r="472" spans="1:23" s="48" customFormat="1" ht="13.5">
      <x:c r="A472" s="258"/>
      <x:c r="B472" s="1219"/>
      <x:c r="C472" s="235"/>
      <x:c r="D472" s="235" t="s">
        <x:v>332</x:v>
      </x:c>
      <x:c r="E472" s="250"/>
      <x:c r="F472" s="251" t="s">
        <x:v>1057</x:v>
      </x:c>
      <x:c r="G472" s="252" t="s">
        <x:v>1058</x:v>
      </x:c>
      <x:c r="H472" s="251">
        <x:v>1</x:v>
      </x:c>
      <x:c r="I472" s="251" t="s">
        <x:v>1089</x:v>
      </x:c>
      <x:c r="J472" s="288">
        <x:f t="shared" ref="J472:U472" si="276">+$I$398*J395</x:f>
        <x:v>21.037499999999998</x:v>
      </x:c>
      <x:c r="K472" s="288">
        <x:f t="shared" si="276"/>
        <x:v>21.037499999999998</x:v>
      </x:c>
      <x:c r="L472" s="288">
        <x:f t="shared" si="276"/>
        <x:v>21.037499999999998</x:v>
      </x:c>
      <x:c r="M472" s="288">
        <x:f t="shared" si="276"/>
        <x:v>21.037499999999998</x:v>
      </x:c>
      <x:c r="N472" s="288">
        <x:f t="shared" si="276"/>
        <x:v>21.037499999999998</x:v>
      </x:c>
      <x:c r="O472" s="288">
        <x:f t="shared" si="276"/>
        <x:v>21.037499999999998</x:v>
      </x:c>
      <x:c r="P472" s="288">
        <x:f t="shared" si="276"/>
        <x:v>21.037499999999998</x:v>
      </x:c>
      <x:c r="Q472" s="288">
        <x:f t="shared" si="276"/>
        <x:v>21.037499999999998</x:v>
      </x:c>
      <x:c r="R472" s="288">
        <x:f t="shared" si="276"/>
        <x:v>21.037499999999998</x:v>
      </x:c>
      <x:c r="S472" s="288">
        <x:f t="shared" si="276"/>
        <x:v>21.037499999999998</x:v>
      </x:c>
      <x:c r="T472" s="288">
        <x:f t="shared" si="276"/>
        <x:v>21.037499999999998</x:v>
      </x:c>
      <x:c r="U472" s="288">
        <x:f t="shared" si="276"/>
        <x:v>21.037499999999998</x:v>
      </x:c>
      <x:c r="V472" s="65"/>
      <x:c r="W472" s="1063"/>
    </x:row>
    <x:row r="473" spans="1:23" s="48" customFormat="1" ht="14.25" thickBot="1">
      <x:c r="A473" s="264"/>
      <x:c r="B473" s="1223"/>
      <x:c r="C473" s="82"/>
      <x:c r="D473" s="82" t="s">
        <x:v>332</x:v>
      </x:c>
      <x:c r="E473" s="83"/>
      <x:c r="F473" s="84" t="s">
        <x:v>1059</x:v>
      </x:c>
      <x:c r="G473" s="85" t="s">
        <x:v>1060</x:v>
      </x:c>
      <x:c r="H473" s="84">
        <x:v>1</x:v>
      </x:c>
      <x:c r="I473" s="84" t="s">
        <x:v>1089</x:v>
      </x:c>
      <x:c r="J473" s="119">
        <x:f t="shared" ref="J473:U473" si="277">+$I$398*J396</x:f>
        <x:v>32.221800000000002</x:v>
      </x:c>
      <x:c r="K473" s="119">
        <x:f t="shared" si="277"/>
        <x:v>32.221800000000002</x:v>
      </x:c>
      <x:c r="L473" s="119">
        <x:f t="shared" si="277"/>
        <x:v>32.221800000000002</x:v>
      </x:c>
      <x:c r="M473" s="119">
        <x:f t="shared" si="277"/>
        <x:v>32.221800000000002</x:v>
      </x:c>
      <x:c r="N473" s="119">
        <x:f t="shared" si="277"/>
        <x:v>32.221800000000002</x:v>
      </x:c>
      <x:c r="O473" s="119">
        <x:f t="shared" si="277"/>
        <x:v>32.221800000000002</x:v>
      </x:c>
      <x:c r="P473" s="119">
        <x:f t="shared" si="277"/>
        <x:v>32.221800000000002</x:v>
      </x:c>
      <x:c r="Q473" s="119">
        <x:f t="shared" si="277"/>
        <x:v>32.221800000000002</x:v>
      </x:c>
      <x:c r="R473" s="119">
        <x:f t="shared" si="277"/>
        <x:v>32.221800000000002</x:v>
      </x:c>
      <x:c r="S473" s="119">
        <x:f t="shared" si="277"/>
        <x:v>32.221800000000002</x:v>
      </x:c>
      <x:c r="T473" s="119">
        <x:f t="shared" si="277"/>
        <x:v>32.221800000000002</x:v>
      </x:c>
      <x:c r="U473" s="119">
        <x:f t="shared" si="277"/>
        <x:v>32.221800000000002</x:v>
      </x:c>
      <x:c r="V473" s="87"/>
      <x:c r="W473" s="1064"/>
    </x:row>
    <x:row r="474" spans="1:23" s="48" customFormat="1" ht="18" thickTop="1" thickBot="1">
      <x:c r="A474" s="139"/>
      <x:c r="B474" s="88"/>
      <x:c r="C474" s="89"/>
      <x:c r="D474" s="89"/>
      <x:c r="E474" s="89"/>
      <x:c r="F474" s="90"/>
      <x:c r="G474" s="141"/>
      <x:c r="H474" s="141"/>
      <x:c r="I474" s="141"/>
      <x:c r="J474" s="146"/>
      <x:c r="K474" s="143"/>
      <x:c r="L474" s="143"/>
      <x:c r="M474" s="143"/>
      <x:c r="N474" s="143"/>
      <x:c r="O474" s="143"/>
      <x:c r="P474" s="143"/>
      <x:c r="Q474" s="143"/>
      <x:c r="R474" s="143"/>
      <x:c r="S474" s="143"/>
      <x:c r="T474" s="143"/>
      <x:c r="U474" s="143"/>
      <x:c r="V474" s="94"/>
      <x:c r="W474" s="1069"/>
    </x:row>
    <x:row r="475" spans="1:23" s="48" customFormat="1" ht="17.25">
      <x:c r="A475" s="145" t="s">
        <x:v>441</x:v>
      </x:c>
      <x:c r="B475" s="146"/>
      <x:c r="C475" s="146"/>
      <x:c r="D475" s="146"/>
      <x:c r="E475" s="146"/>
      <x:c r="F475" s="147"/>
      <x:c r="G475" s="148" t="s">
        <x:v>431</x:v>
      </x:c>
      <x:c r="H475" s="149"/>
      <x:c r="I475" s="150">
        <x:v>51</x:v>
      </x:c>
      <x:c r="K475" s="106" t="s">
        <x:v>1521</x:v>
      </x:c>
      <x:c r="L475" s="1170">
        <x:f>+'Exchange Rate'!$D$13</x:f>
        <x:v>43</x:v>
      </x:c>
      <x:c r="M475" s="146"/>
      <x:c r="N475" s="146"/>
      <x:c r="O475" s="146"/>
      <x:c r="P475" s="146"/>
      <x:c r="Q475" s="146"/>
      <x:c r="R475" s="146"/>
      <x:c r="S475" s="146"/>
      <x:c r="T475" s="146"/>
      <x:c r="U475" s="146"/>
      <x:c r="V475" s="146"/>
      <x:c r="W475" s="1074" t="s">
        <x:v>432</x:v>
      </x:c>
    </x:row>
    <x:row r="476" spans="1:23" s="48" customFormat="1" ht="13.5">
      <x:c r="A476" s="1225" t="s">
        <x:v>421</x:v>
      </x:c>
      <x:c r="B476" s="1220" t="s">
        <x:v>309</x:v>
      </x:c>
      <x:c r="C476" s="1227" t="s">
        <x:v>422</x:v>
      </x:c>
      <x:c r="D476" s="1228"/>
      <x:c r="E476" s="1229"/>
      <x:c r="F476" s="1230" t="s">
        <x:v>423</x:v>
      </x:c>
      <x:c r="G476" s="1220" t="s">
        <x:v>424</x:v>
      </x:c>
      <x:c r="H476" s="1220" t="s">
        <x:v>425</x:v>
      </x:c>
      <x:c r="I476" s="1220" t="s">
        <x:v>426</x:v>
      </x:c>
      <x:c r="J476" s="1213" t="s">
        <x:v>427</x:v>
      </x:c>
      <x:c r="K476" s="1214"/>
      <x:c r="L476" s="1214"/>
      <x:c r="M476" s="1214"/>
      <x:c r="N476" s="1214"/>
      <x:c r="O476" s="1214"/>
      <x:c r="P476" s="1214"/>
      <x:c r="Q476" s="1214"/>
      <x:c r="R476" s="1214"/>
      <x:c r="S476" s="1214"/>
      <x:c r="T476" s="1214"/>
      <x:c r="U476" s="1214"/>
      <x:c r="V476" s="1215"/>
      <x:c r="W476" s="1216" t="s">
        <x:v>426</x:v>
      </x:c>
    </x:row>
    <x:row r="477" spans="1:23" s="48" customFormat="1" ht="14.25" thickBot="1">
      <x:c r="A477" s="1226"/>
      <x:c r="B477" s="1224"/>
      <x:c r="C477" s="269">
        <x:v>1</x:v>
      </x:c>
      <x:c r="D477" s="269">
        <x:v>2</x:v>
      </x:c>
      <x:c r="E477" s="269">
        <x:v>3</x:v>
      </x:c>
      <x:c r="F477" s="1231"/>
      <x:c r="G477" s="1224"/>
      <x:c r="H477" s="1224"/>
      <x:c r="I477" s="1224"/>
      <x:c r="J477" s="271" t="s">
        <x:v>428</x:v>
      </x:c>
      <x:c r="K477" s="271" t="s">
        <x:v>318</x:v>
      </x:c>
      <x:c r="L477" s="271" t="s">
        <x:v>319</x:v>
      </x:c>
      <x:c r="M477" s="271" t="s">
        <x:v>320</x:v>
      </x:c>
      <x:c r="N477" s="271" t="s">
        <x:v>321</x:v>
      </x:c>
      <x:c r="O477" s="271" t="s">
        <x:v>322</x:v>
      </x:c>
      <x:c r="P477" s="271" t="s">
        <x:v>323</x:v>
      </x:c>
      <x:c r="Q477" s="271" t="s">
        <x:v>324</x:v>
      </x:c>
      <x:c r="R477" s="271" t="s">
        <x:v>325</x:v>
      </x:c>
      <x:c r="S477" s="271" t="s">
        <x:v>326</x:v>
      </x:c>
      <x:c r="T477" s="271" t="s">
        <x:v>327</x:v>
      </x:c>
      <x:c r="U477" s="271" t="s">
        <x:v>328</x:v>
      </x:c>
      <x:c r="V477" s="272" t="s">
        <x:v>429</x:v>
      </x:c>
      <x:c r="W477" s="1217"/>
    </x:row>
    <x:row r="478" spans="1:23" s="48" customFormat="1" ht="14.25" thickTop="1">
      <x:c r="A478" s="51" t="s">
        <x:v>330</x:v>
      </x:c>
      <x:c r="B478" s="52" t="s">
        <x:v>331</x:v>
      </x:c>
      <x:c r="C478" s="53" t="s">
        <x:v>332</x:v>
      </x:c>
      <x:c r="D478" s="53"/>
      <x:c r="E478" s="53"/>
      <x:c r="F478" s="53" t="s">
        <x:v>333</x:v>
      </x:c>
      <x:c r="G478" s="54" t="s">
        <x:v>334</x:v>
      </x:c>
      <x:c r="H478" s="53">
        <x:v>1</x:v>
      </x:c>
      <x:c r="I478" s="53" t="s">
        <x:v>1088</x:v>
      </x:c>
      <x:c r="J478" s="109">
        <x:f t="shared" ref="J478:U478" si="278">+$I$475*J324*J5</x:f>
        <x:v>11858249.903999999</x:v>
      </x:c>
      <x:c r="K478" s="126">
        <x:f t="shared" si="278"/>
        <x:v>12872442.33</x:v>
      </x:c>
      <x:c r="L478" s="126">
        <x:f t="shared" si="278"/>
        <x:v>15368915.993999999</x:v>
      </x:c>
      <x:c r="M478" s="126">
        <x:f t="shared" si="278"/>
        <x:v>11234131.488</x:v>
      </x:c>
      <x:c r="N478" s="126">
        <x:f t="shared" si="278"/>
        <x:v>9283761.4379999992</x:v>
      </x:c>
      <x:c r="O478" s="126">
        <x:f t="shared" si="278"/>
        <x:v>19347670.896000002</x:v>
      </x:c>
      <x:c r="P478" s="126">
        <x:f t="shared" si="278"/>
        <x:v>10688027.874</x:v>
      </x:c>
      <x:c r="Q478" s="126">
        <x:f t="shared" si="278"/>
        <x:v>17397300.846000001</x:v>
      </x:c>
      <x:c r="R478" s="126">
        <x:f t="shared" si="278"/>
        <x:v>17007226.835999999</x:v>
      </x:c>
      <x:c r="S478" s="126">
        <x:f t="shared" si="278"/>
        <x:v>13231310.419199999</x:v>
      </x:c>
      <x:c r="T478" s="126">
        <x:f t="shared" si="278"/>
        <x:v>14495150.2116</x:v>
      </x:c>
      <x:c r="U478" s="126">
        <x:f t="shared" si="278"/>
        <x:v>15361114.513800001</x:v>
      </x:c>
      <x:c r="V478" s="110">
        <x:f>SUM(J478:U478)</x:f>
        <x:v>168145302.75059998</x:v>
      </x:c>
      <x:c r="W478" s="1075" t="s">
        <x:v>335</x:v>
      </x:c>
    </x:row>
    <x:row r="479" spans="1:23" s="48" customFormat="1" ht="13.5">
      <x:c r="A479" s="58" t="s">
        <x:v>336</x:v>
      </x:c>
      <x:c r="B479" s="59"/>
      <x:c r="C479" s="235" t="s">
        <x:v>332</x:v>
      </x:c>
      <x:c r="D479" s="235"/>
      <x:c r="E479" s="235"/>
      <x:c r="F479" s="235" t="s">
        <x:v>337</x:v>
      </x:c>
      <x:c r="G479" s="236" t="s">
        <x:v>338</x:v>
      </x:c>
      <x:c r="H479" s="235">
        <x:v>1</x:v>
      </x:c>
      <x:c r="I479" s="235" t="s">
        <x:v>1089</x:v>
      </x:c>
      <x:c r="J479" s="282">
        <x:f t="shared" ref="J479:U479" si="279">+$I$475*J325*J6</x:f>
        <x:v>2440748.2080000001</x:v>
      </x:c>
      <x:c r="K479" s="287">
        <x:f t="shared" si="279"/>
        <x:v>2649496.41</x:v>
      </x:c>
      <x:c r="L479" s="287">
        <x:f t="shared" si="279"/>
        <x:v>3163338.1379999998</x:v>
      </x:c>
      <x:c r="M479" s="287">
        <x:f t="shared" si="279"/>
        <x:v>2312287.7760000001</x:v>
      </x:c>
      <x:c r="N479" s="287">
        <x:f t="shared" si="279"/>
        <x:v>1910848.926</x:v>
      </x:c>
      <x:c r="O479" s="287">
        <x:f t="shared" si="279"/>
        <x:v>3982273.392</x:v>
      </x:c>
      <x:c r="P479" s="287">
        <x:f t="shared" si="279"/>
        <x:v>2199884.898</x:v>
      </x:c>
      <x:c r="Q479" s="287">
        <x:f t="shared" si="279"/>
        <x:v>3580834.5419999999</x:v>
      </x:c>
      <x:c r="R479" s="287">
        <x:f t="shared" si="279"/>
        <x:v>3500546.7719999999</x:v>
      </x:c>
      <x:c r="S479" s="287">
        <x:f t="shared" si="279"/>
        <x:v>2723361.1584000001</x:v>
      </x:c>
      <x:c r="T479" s="287">
        <x:f t="shared" si="279"/>
        <x:v>2983493.5331999999</x:v>
      </x:c>
      <x:c r="U479" s="287">
        <x:f t="shared" si="279"/>
        <x:v>3161732.3826000001</x:v>
      </x:c>
      <x:c r="V479" s="111">
        <x:f t="shared" ref="V479:V550" si="280">SUM(J479:U479)</x:f>
        <x:v>34608846.136200003</x:v>
      </x:c>
      <x:c r="W479" s="1046" t="s">
        <x:v>339</x:v>
      </x:c>
    </x:row>
    <x:row r="480" spans="1:23" s="48" customFormat="1" ht="13.5">
      <x:c r="A480" s="58"/>
      <x:c r="B480" s="59"/>
      <x:c r="C480" s="61" t="s">
        <x:v>332</x:v>
      </x:c>
      <x:c r="D480" s="61"/>
      <x:c r="E480" s="61"/>
      <x:c r="F480" s="61" t="s">
        <x:v>340</x:v>
      </x:c>
      <x:c r="G480" s="62" t="s">
        <x:v>341</x:v>
      </x:c>
      <x:c r="H480" s="61">
        <x:v>3</x:v>
      </x:c>
      <x:c r="I480" s="61" t="s">
        <x:v>1089</x:v>
      </x:c>
      <x:c r="J480" s="287">
        <x:f t="shared" ref="J480:U480" si="281">+$I$475*J326*J7</x:f>
        <x:v>1245684.3840000001</x:v>
      </x:c>
      <x:c r="K480" s="287">
        <x:f t="shared" si="281"/>
        <x:v>1352223.18</x:v>
      </x:c>
      <x:c r="L480" s="287">
        <x:f t="shared" si="281"/>
        <x:v>1614472.524</x:v>
      </x:c>
      <x:c r="M480" s="287">
        <x:f t="shared" si="281"/>
        <x:v>1180122.048</x:v>
      </x:c>
      <x:c r="N480" s="287">
        <x:f t="shared" si="281"/>
        <x:v>975239.74800000002</x:v>
      </x:c>
      <x:c r="O480" s="287">
        <x:f t="shared" si="281"/>
        <x:v>2032432.416</x:v>
      </x:c>
      <x:c r="P480" s="287">
        <x:f t="shared" si="281"/>
        <x:v>1122755.004</x:v>
      </x:c>
      <x:c r="Q480" s="287">
        <x:f t="shared" si="281"/>
        <x:v>1827550.1159999999</x:v>
      </x:c>
      <x:c r="R480" s="287">
        <x:f t="shared" si="281"/>
        <x:v>1786573.656</x:v>
      </x:c>
      <x:c r="S480" s="287">
        <x:f t="shared" si="281"/>
        <x:v>1389921.5231999999</x:v>
      </x:c>
      <x:c r="T480" s="287">
        <x:f t="shared" si="281"/>
        <x:v>1522685.2535999999</x:v>
      </x:c>
      <x:c r="U480" s="287">
        <x:f t="shared" si="281"/>
        <x:v>1613652.9948</x:v>
      </x:c>
      <x:c r="V480" s="282">
        <x:f t="shared" si="280"/>
        <x:v>17663312.847599998</x:v>
      </x:c>
      <x:c r="W480" s="1046" t="s">
        <x:v>339</x:v>
      </x:c>
    </x:row>
    <x:row r="481" spans="1:23" s="48" customFormat="1" ht="13.5">
      <x:c r="A481" s="58"/>
      <x:c r="B481" s="59"/>
      <x:c r="C481" s="240" t="s">
        <x:v>332</x:v>
      </x:c>
      <x:c r="D481" s="240"/>
      <x:c r="E481" s="240"/>
      <x:c r="F481" s="240" t="s">
        <x:v>342</x:v>
      </x:c>
      <x:c r="G481" s="241" t="s">
        <x:v>343</x:v>
      </x:c>
      <x:c r="H481" s="240">
        <x:v>3</x:v>
      </x:c>
      <x:c r="I481" s="240" t="s">
        <x:v>1089</x:v>
      </x:c>
      <x:c r="J481" s="287">
        <x:f t="shared" ref="J481:U481" si="282">+$I$475*J327*J8</x:f>
        <x:v>1569175.3439999998</x:v>
      </x:c>
      <x:c r="K481" s="287">
        <x:f t="shared" si="282"/>
        <x:v>1703381.13</x:v>
      </x:c>
      <x:c r="L481" s="287">
        <x:f t="shared" si="282"/>
        <x:v>2033733.8339999998</x:v>
      </x:c>
      <x:c r="M481" s="287">
        <x:f t="shared" si="282"/>
        <x:v>1486587.1679999998</x:v>
      </x:c>
      <x:c r="N481" s="287">
        <x:f t="shared" si="282"/>
        <x:v>1228499.118</x:v>
      </x:c>
      <x:c r="O481" s="287">
        <x:f t="shared" si="282"/>
        <x:v>2560233.4559999998</x:v>
      </x:c>
      <x:c r="P481" s="287">
        <x:f t="shared" si="282"/>
        <x:v>1414322.514</x:v>
      </x:c>
      <x:c r="Q481" s="287">
        <x:f t="shared" si="282"/>
        <x:v>2302145.406</x:v>
      </x:c>
      <x:c r="R481" s="287">
        <x:f t="shared" si="282"/>
        <x:v>2250527.7959999996</x:v>
      </x:c>
      <x:c r="S481" s="287">
        <x:f t="shared" si="282"/>
        <x:v>1750869.3311999999</x:v>
      </x:c>
      <x:c r="T481" s="287">
        <x:f t="shared" si="282"/>
        <x:v>1918110.3875999998</x:v>
      </x:c>
      <x:c r="U481" s="287">
        <x:f t="shared" si="282"/>
        <x:v>2032701.4818</x:v>
      </x:c>
      <x:c r="V481" s="282">
        <x:f t="shared" si="280"/>
        <x:v>22250286.966600001</x:v>
      </x:c>
      <x:c r="W481" s="1046" t="s">
        <x:v>339</x:v>
      </x:c>
    </x:row>
    <x:row r="482" spans="1:23" s="48" customFormat="1" ht="13.5">
      <x:c r="A482" s="58"/>
      <x:c r="B482" s="59"/>
      <x:c r="C482" s="235" t="s">
        <x:v>332</x:v>
      </x:c>
      <x:c r="D482" s="235"/>
      <x:c r="E482" s="235"/>
      <x:c r="F482" s="235" t="s">
        <x:v>344</x:v>
      </x:c>
      <x:c r="G482" s="236" t="s">
        <x:v>345</x:v>
      </x:c>
      <x:c r="H482" s="235">
        <x:v>1</x:v>
      </x:c>
      <x:c r="I482" s="235" t="s">
        <x:v>1089</x:v>
      </x:c>
      <x:c r="J482" s="287">
        <x:f t="shared" ref="J482:U482" si="283">+$I$475*J328*J9</x:f>
        <x:v>268188.19200000004</x:v>
      </x:c>
      <x:c r="K482" s="287">
        <x:f t="shared" si="283"/>
        <x:v>291125.34000000003</x:v>
      </x:c>
      <x:c r="L482" s="287">
        <x:f t="shared" si="283"/>
        <x:v>347586.01200000005</x:v>
      </x:c>
      <x:c r="M482" s="287">
        <x:f t="shared" si="283"/>
        <x:v>254073.024</x:v>
      </x:c>
      <x:c r="N482" s="287">
        <x:f t="shared" si="283"/>
        <x:v>209963.12400000001</x:v>
      </x:c>
      <x:c r="O482" s="287">
        <x:f t="shared" si="283"/>
        <x:v>437570.20800000004</x:v>
      </x:c>
      <x:c r="P482" s="287">
        <x:f t="shared" si="283"/>
        <x:v>241722.25200000001</x:v>
      </x:c>
      <x:c r="Q482" s="287">
        <x:f t="shared" si="283"/>
        <x:v>393460.30800000002</x:v>
      </x:c>
      <x:c r="R482" s="287">
        <x:f t="shared" si="283"/>
        <x:v>384638.32800000004</x:v>
      </x:c>
      <x:c r="S482" s="287">
        <x:f t="shared" si="283"/>
        <x:v>299241.56160000002</x:v>
      </x:c>
      <x:c r="T482" s="287">
        <x:f t="shared" si="283"/>
        <x:v>327824.77680000005</x:v>
      </x:c>
      <x:c r="U482" s="287">
        <x:f t="shared" si="283"/>
        <x:v>347409.5724</x:v>
      </x:c>
      <x:c r="V482" s="282">
        <x:f t="shared" si="280"/>
        <x:v>3802802.6988000008</x:v>
      </x:c>
      <x:c r="W482" s="1046" t="s">
        <x:v>339</x:v>
      </x:c>
    </x:row>
    <x:row r="483" spans="1:23" s="48" customFormat="1" ht="13.5">
      <x:c r="A483" s="58"/>
      <x:c r="B483" s="289" t="s">
        <x:v>435</x:v>
      </x:c>
      <x:c r="C483" s="127"/>
      <x:c r="D483" s="127"/>
      <x:c r="E483" s="127"/>
      <x:c r="F483" s="127"/>
      <x:c r="G483" s="127"/>
      <x:c r="H483" s="290"/>
      <x:c r="I483" s="290"/>
      <x:c r="J483" s="300">
        <x:f>SUM(J478:J482)</x:f>
        <x:v>17382046.032000002</x:v>
      </x:c>
      <x:c r="K483" s="301">
        <x:f t="shared" ref="K483:U483" si="284">SUM(K478:K482)</x:f>
        <x:v>18868668.390000001</x:v>
      </x:c>
      <x:c r="L483" s="301">
        <x:f t="shared" si="284"/>
        <x:v>22528046.501999997</x:v>
      </x:c>
      <x:c r="M483" s="301">
        <x:f t="shared" si="284"/>
        <x:v>16467201.504000001</x:v>
      </x:c>
      <x:c r="N483" s="301">
        <x:f t="shared" si="284"/>
        <x:v>13608312.354</x:v>
      </x:c>
      <x:c r="O483" s="301">
        <x:f t="shared" si="284"/>
        <x:v>28360180.368000004</x:v>
      </x:c>
      <x:c r="P483" s="301">
        <x:f t="shared" si="284"/>
        <x:v>15666712.542000001</x:v>
      </x:c>
      <x:c r="Q483" s="301">
        <x:f t="shared" si="284"/>
        <x:v>25501291.217999998</x:v>
      </x:c>
      <x:c r="R483" s="301">
        <x:f t="shared" si="284"/>
        <x:v>24929513.388</x:v>
      </x:c>
      <x:c r="S483" s="301">
        <x:f>SUM(S478:S482)</x:f>
        <x:v>19394703.9936</x:v>
      </x:c>
      <x:c r="T483" s="301">
        <x:f t="shared" si="284"/>
        <x:v>21247264.162800003</x:v>
      </x:c>
      <x:c r="U483" s="301">
        <x:f t="shared" si="284"/>
        <x:v>22516610.945400003</x:v>
      </x:c>
      <x:c r="V483" s="301">
        <x:f>SUM(J483:U483)</x:f>
        <x:v>246470551.39980003</x:v>
      </x:c>
      <x:c r="W483" s="1052"/>
    </x:row>
    <x:row r="484" spans="1:23" s="48" customFormat="1" ht="13.5">
      <x:c r="A484" s="58"/>
      <x:c r="B484" s="66" t="s">
        <x:v>346</x:v>
      </x:c>
      <x:c r="C484" s="67" t="s">
        <x:v>332</x:v>
      </x:c>
      <x:c r="D484" s="67"/>
      <x:c r="E484" s="67"/>
      <x:c r="F484" s="67" t="s">
        <x:v>333</x:v>
      </x:c>
      <x:c r="G484" s="68" t="s">
        <x:v>334</x:v>
      </x:c>
      <x:c r="H484" s="67">
        <x:v>1</x:v>
      </x:c>
      <x:c r="I484" s="67" t="s">
        <x:v>1088</x:v>
      </x:c>
      <x:c r="J484" s="286">
        <x:f t="shared" ref="J484:U484" si="285">+$I$475*J329*J10</x:f>
        <x:v>5929124.9519999996</x:v>
      </x:c>
      <x:c r="K484" s="286">
        <x:f t="shared" si="285"/>
        <x:v>5305006.5360000003</x:v>
      </x:c>
      <x:c r="L484" s="286">
        <x:f t="shared" si="285"/>
        <x:v>6553243.3679999998</x:v>
      </x:c>
      <x:c r="M484" s="286">
        <x:f t="shared" si="285"/>
        <x:v>6553243.3679999998</x:v>
      </x:c>
      <x:c r="N484" s="286">
        <x:f t="shared" si="285"/>
        <x:v>7177361.784</x:v>
      </x:c>
      <x:c r="O484" s="286">
        <x:f t="shared" si="285"/>
        <x:v>9673835.4480000008</x:v>
      </x:c>
      <x:c r="P484" s="286">
        <x:f t="shared" si="285"/>
        <x:v>6865302.5760000004</x:v>
      </x:c>
      <x:c r="Q484" s="286">
        <x:f t="shared" si="285"/>
        <x:v>7021332.1799999997</x:v>
      </x:c>
      <x:c r="R484" s="286">
        <x:f t="shared" si="285"/>
        <x:v>7309986.9473999999</x:v>
      </x:c>
      <x:c r="S484" s="286">
        <x:f t="shared" si="285"/>
        <x:v>7434810.6305999998</x:v>
      </x:c>
      <x:c r="T484" s="286">
        <x:f t="shared" si="285"/>
        <x:v>7583038.7544</x:v>
      </x:c>
      <x:c r="U484" s="286">
        <x:f t="shared" si="285"/>
        <x:v>7649351.3361</x:v>
      </x:c>
      <x:c r="V484" s="282">
        <x:f t="shared" si="280"/>
        <x:v>85055637.880500004</x:v>
      </x:c>
      <x:c r="W484" s="1052" t="s">
        <x:v>347</x:v>
      </x:c>
    </x:row>
    <x:row r="485" spans="1:23" s="48" customFormat="1" ht="13.5">
      <x:c r="A485" s="58"/>
      <x:c r="B485" s="59"/>
      <x:c r="C485" s="235" t="s">
        <x:v>332</x:v>
      </x:c>
      <x:c r="D485" s="235"/>
      <x:c r="E485" s="235"/>
      <x:c r="F485" s="235" t="s">
        <x:v>337</x:v>
      </x:c>
      <x:c r="G485" s="236" t="s">
        <x:v>338</x:v>
      </x:c>
      <x:c r="H485" s="235">
        <x:v>1</x:v>
      </x:c>
      <x:c r="I485" s="235" t="s">
        <x:v>1089</x:v>
      </x:c>
      <x:c r="J485" s="286">
        <x:f t="shared" ref="J485:U485" si="286">+$I$475*J330*J11</x:f>
        <x:v>1220374.1040000001</x:v>
      </x:c>
      <x:c r="K485" s="286">
        <x:f t="shared" si="286"/>
        <x:v>1091913.672</x:v>
      </x:c>
      <x:c r="L485" s="286">
        <x:f t="shared" si="286"/>
        <x:v>1348834.5360000001</x:v>
      </x:c>
      <x:c r="M485" s="286">
        <x:f t="shared" si="286"/>
        <x:v>1348834.5360000001</x:v>
      </x:c>
      <x:c r="N485" s="286">
        <x:f t="shared" si="286"/>
        <x:v>1477294.9680000001</x:v>
      </x:c>
      <x:c r="O485" s="286">
        <x:f t="shared" si="286"/>
        <x:v>1991136.696</x:v>
      </x:c>
      <x:c r="P485" s="286">
        <x:f t="shared" si="286"/>
        <x:v>1413064.7520000001</x:v>
      </x:c>
      <x:c r="Q485" s="286">
        <x:f t="shared" si="286"/>
        <x:v>1445179.86</x:v>
      </x:c>
      <x:c r="R485" s="286">
        <x:f t="shared" si="286"/>
        <x:v>1504592.8097999999</x:v>
      </x:c>
      <x:c r="S485" s="286">
        <x:f t="shared" si="286"/>
        <x:v>1530284.8962000001</x:v>
      </x:c>
      <x:c r="T485" s="286">
        <x:f t="shared" si="286"/>
        <x:v>1560794.2487999999</x:v>
      </x:c>
      <x:c r="U485" s="286">
        <x:f t="shared" si="286"/>
        <x:v>1574443.1697</x:v>
      </x:c>
      <x:c r="V485" s="282">
        <x:f t="shared" si="280"/>
        <x:v>17506748.248500001</x:v>
      </x:c>
      <x:c r="W485" s="1046" t="s">
        <x:v>339</x:v>
      </x:c>
    </x:row>
    <x:row r="486" spans="1:23" s="48" customFormat="1" ht="13.5">
      <x:c r="A486" s="58"/>
      <x:c r="B486" s="59"/>
      <x:c r="C486" s="61" t="s">
        <x:v>332</x:v>
      </x:c>
      <x:c r="D486" s="61"/>
      <x:c r="E486" s="61"/>
      <x:c r="F486" s="61" t="s">
        <x:v>340</x:v>
      </x:c>
      <x:c r="G486" s="62" t="s">
        <x:v>341</x:v>
      </x:c>
      <x:c r="H486" s="61">
        <x:v>3</x:v>
      </x:c>
      <x:c r="I486" s="61" t="s">
        <x:v>1089</x:v>
      </x:c>
      <x:c r="J486" s="286">
        <x:f t="shared" ref="J486:U486" si="287">+$I$475*J331*J12</x:f>
        <x:v>622842.19200000004</x:v>
      </x:c>
      <x:c r="K486" s="286">
        <x:f t="shared" si="287"/>
        <x:v>557279.85600000003</x:v>
      </x:c>
      <x:c r="L486" s="286">
        <x:f t="shared" si="287"/>
        <x:v>688404.52800000005</x:v>
      </x:c>
      <x:c r="M486" s="286">
        <x:f t="shared" si="287"/>
        <x:v>688404.52800000005</x:v>
      </x:c>
      <x:c r="N486" s="286">
        <x:f t="shared" si="287"/>
        <x:v>753966.86400000006</x:v>
      </x:c>
      <x:c r="O486" s="286">
        <x:f t="shared" si="287"/>
        <x:v>1016216.208</x:v>
      </x:c>
      <x:c r="P486" s="286">
        <x:f t="shared" si="287"/>
        <x:v>721185.696</x:v>
      </x:c>
      <x:c r="Q486" s="286">
        <x:f t="shared" si="287"/>
        <x:v>737576.28</x:v>
      </x:c>
      <x:c r="R486" s="286">
        <x:f t="shared" si="287"/>
        <x:v>767898.86040000001</x:v>
      </x:c>
      <x:c r="S486" s="286">
        <x:f t="shared" si="287"/>
        <x:v>781011.32759999996</x:v>
      </x:c>
      <x:c r="T486" s="286">
        <x:f t="shared" si="287"/>
        <x:v>796582.3824</x:v>
      </x:c>
      <x:c r="U486" s="286">
        <x:f t="shared" si="287"/>
        <x:v>803548.38060000003</x:v>
      </x:c>
      <x:c r="V486" s="282">
        <x:f t="shared" si="280"/>
        <x:v>8934917.1030000001</x:v>
      </x:c>
      <x:c r="W486" s="1046" t="s">
        <x:v>339</x:v>
      </x:c>
    </x:row>
    <x:row r="487" spans="1:23" s="48" customFormat="1" ht="13.5">
      <x:c r="A487" s="58"/>
      <x:c r="B487" s="59"/>
      <x:c r="C487" s="240" t="s">
        <x:v>332</x:v>
      </x:c>
      <x:c r="D487" s="240"/>
      <x:c r="E487" s="240"/>
      <x:c r="F487" s="240" t="s">
        <x:v>342</x:v>
      </x:c>
      <x:c r="G487" s="241" t="s">
        <x:v>343</x:v>
      </x:c>
      <x:c r="H487" s="240">
        <x:v>3</x:v>
      </x:c>
      <x:c r="I487" s="240" t="s">
        <x:v>1089</x:v>
      </x:c>
      <x:c r="J487" s="286">
        <x:f t="shared" ref="J487:U487" si="288">+$I$475*J332*J13</x:f>
        <x:v>784587.6719999999</x:v>
      </x:c>
      <x:c r="K487" s="286">
        <x:f t="shared" si="288"/>
        <x:v>701999.49599999993</x:v>
      </x:c>
      <x:c r="L487" s="286">
        <x:f t="shared" si="288"/>
        <x:v>867175.84799999988</x:v>
      </x:c>
      <x:c r="M487" s="286">
        <x:f t="shared" si="288"/>
        <x:v>867175.84799999988</x:v>
      </x:c>
      <x:c r="N487" s="286">
        <x:f t="shared" si="288"/>
        <x:v>949764.02399999998</x:v>
      </x:c>
      <x:c r="O487" s="286">
        <x:f t="shared" si="288"/>
        <x:v>1280116.7279999999</x:v>
      </x:c>
      <x:c r="P487" s="286">
        <x:f t="shared" si="288"/>
        <x:v>908469.93599999999</x:v>
      </x:c>
      <x:c r="Q487" s="286">
        <x:f t="shared" si="288"/>
        <x:v>929116.98</x:v>
      </x:c>
      <x:c r="R487" s="286">
        <x:f t="shared" si="288"/>
        <x:v>967314.01139999996</x:v>
      </x:c>
      <x:c r="S487" s="286">
        <x:f t="shared" si="288"/>
        <x:v>983831.64659999998</x:v>
      </x:c>
      <x:c r="T487" s="286">
        <x:f t="shared" si="288"/>
        <x:v>1003446.3383999999</x:v>
      </x:c>
      <x:c r="U487" s="286">
        <x:f t="shared" si="288"/>
        <x:v>1012221.3320999999</x:v>
      </x:c>
      <x:c r="V487" s="282">
        <x:f t="shared" si="280"/>
        <x:v>11255219.8605</x:v>
      </x:c>
      <x:c r="W487" s="1046" t="s">
        <x:v>339</x:v>
      </x:c>
    </x:row>
    <x:row r="488" spans="1:23" s="48" customFormat="1" ht="13.5">
      <x:c r="A488" s="58"/>
      <x:c r="B488" s="69"/>
      <x:c r="C488" s="240" t="s">
        <x:v>332</x:v>
      </x:c>
      <x:c r="D488" s="240"/>
      <x:c r="E488" s="240"/>
      <x:c r="F488" s="240" t="s">
        <x:v>344</x:v>
      </x:c>
      <x:c r="G488" s="241" t="s">
        <x:v>345</x:v>
      </x:c>
      <x:c r="H488" s="240">
        <x:v>1</x:v>
      </x:c>
      <x:c r="I488" s="240" t="s">
        <x:v>1089</x:v>
      </x:c>
      <x:c r="J488" s="286">
        <x:f t="shared" ref="J488:U488" si="289">+$I$475*J333*J14</x:f>
        <x:v>134094.09600000002</x:v>
      </x:c>
      <x:c r="K488" s="286">
        <x:f t="shared" si="289"/>
        <x:v>119978.92800000001</x:v>
      </x:c>
      <x:c r="L488" s="286">
        <x:f t="shared" si="289"/>
        <x:v>148209.26400000002</x:v>
      </x:c>
      <x:c r="M488" s="286">
        <x:f t="shared" si="289"/>
        <x:v>148209.26400000002</x:v>
      </x:c>
      <x:c r="N488" s="286">
        <x:f t="shared" si="289"/>
        <x:v>162324.432</x:v>
      </x:c>
      <x:c r="O488" s="286">
        <x:f t="shared" si="289"/>
        <x:v>218785.10400000002</x:v>
      </x:c>
      <x:c r="P488" s="286">
        <x:f t="shared" si="289"/>
        <x:v>155266.848</x:v>
      </x:c>
      <x:c r="Q488" s="286">
        <x:f t="shared" si="289"/>
        <x:v>158795.64000000001</x:v>
      </x:c>
      <x:c r="R488" s="286">
        <x:f t="shared" si="289"/>
        <x:v>165323.90520000001</x:v>
      </x:c>
      <x:c r="S488" s="286">
        <x:f t="shared" si="289"/>
        <x:v>168146.9388</x:v>
      </x:c>
      <x:c r="T488" s="286">
        <x:f t="shared" si="289"/>
        <x:v>171499.29120000001</x:v>
      </x:c>
      <x:c r="U488" s="286">
        <x:f t="shared" si="289"/>
        <x:v>172999.02780000001</x:v>
      </x:c>
      <x:c r="V488" s="282">
        <x:f t="shared" si="280"/>
        <x:v>1923632.7390000005</x:v>
      </x:c>
      <x:c r="W488" s="1046" t="s">
        <x:v>339</x:v>
      </x:c>
    </x:row>
    <x:row r="489" spans="1:23" s="48" customFormat="1" ht="13.5">
      <x:c r="A489" s="58"/>
      <x:c r="B489" s="289" t="s">
        <x:v>435</x:v>
      </x:c>
      <x:c r="C489" s="127"/>
      <x:c r="D489" s="127"/>
      <x:c r="E489" s="127"/>
      <x:c r="F489" s="127"/>
      <x:c r="G489" s="127"/>
      <x:c r="H489" s="290"/>
      <x:c r="I489" s="290"/>
      <x:c r="J489" s="300">
        <x:f>SUM(J484:J488)</x:f>
        <x:v>8691023.0160000008</x:v>
      </x:c>
      <x:c r="K489" s="301">
        <x:f t="shared" ref="K489:U489" si="290">SUM(K484:K488)</x:f>
        <x:v>7776178.4880000008</x:v>
      </x:c>
      <x:c r="L489" s="301">
        <x:f t="shared" si="290"/>
        <x:v>9605867.5439999998</x:v>
      </x:c>
      <x:c r="M489" s="301">
        <x:f t="shared" si="290"/>
        <x:v>9605867.5439999998</x:v>
      </x:c>
      <x:c r="N489" s="301">
        <x:f t="shared" si="290"/>
        <x:v>10520712.072000001</x:v>
      </x:c>
      <x:c r="O489" s="301">
        <x:f t="shared" si="290"/>
        <x:v>14180090.184000002</x:v>
      </x:c>
      <x:c r="P489" s="301">
        <x:f t="shared" si="290"/>
        <x:v>10063289.808</x:v>
      </x:c>
      <x:c r="Q489" s="301">
        <x:f t="shared" si="290"/>
        <x:v>10292000.939999999</x:v>
      </x:c>
      <x:c r="R489" s="301">
        <x:f t="shared" si="290"/>
        <x:v>10715116.5342</x:v>
      </x:c>
      <x:c r="S489" s="301">
        <x:f>SUM(S484:S488)</x:f>
        <x:v>10898085.4398</x:v>
      </x:c>
      <x:c r="T489" s="301">
        <x:f t="shared" si="290"/>
        <x:v>11115361.015200002</x:v>
      </x:c>
      <x:c r="U489" s="301">
        <x:f t="shared" si="290"/>
        <x:v>11212563.246299999</x:v>
      </x:c>
      <x:c r="V489" s="301">
        <x:f>SUM(J489:U489)</x:f>
        <x:v>124676155.83149999</x:v>
      </x:c>
      <x:c r="W489" s="1046"/>
    </x:row>
    <x:row r="490" spans="1:23" s="48" customFormat="1" ht="13.5">
      <x:c r="A490" s="58"/>
      <x:c r="B490" s="66" t="s">
        <x:v>1034</x:v>
      </x:c>
      <x:c r="C490" s="235" t="s">
        <x:v>332</x:v>
      </x:c>
      <x:c r="D490" s="235"/>
      <x:c r="E490" s="235"/>
      <x:c r="F490" s="235" t="s">
        <x:v>1090</x:v>
      </x:c>
      <x:c r="G490" s="236" t="s">
        <x:v>1091</x:v>
      </x:c>
      <x:c r="H490" s="235">
        <x:v>1</x:v>
      </x:c>
      <x:c r="I490" s="235" t="s">
        <x:v>1089</x:v>
      </x:c>
      <x:c r="J490" s="287">
        <x:f t="shared" ref="J490:U490" si="291">+$I$475*J334*J15</x:f>
        <x:v>11690093.52</x:v>
      </x:c>
      <x:c r="K490" s="287">
        <x:f t="shared" si="291"/>
        <x:v>12010929.42</x:v>
      </x:c>
      <x:c r="L490" s="287">
        <x:f t="shared" si="291"/>
        <x:v>23135185.080000002</x:v>
      </x:c>
      <x:c r="M490" s="287">
        <x:f t="shared" si="291"/>
        <x:v>19565156.52</x:v>
      </x:c>
      <x:c r="N490" s="287">
        <x:f t="shared" si="291"/>
        <x:v>15627625.02</x:v>
      </x:c>
      <x:c r="O490" s="287">
        <x:f t="shared" si="291"/>
        <x:v>24756864.719999999</x:v>
      </x:c>
      <x:c r="P490" s="287">
        <x:f t="shared" si="291"/>
        <x:v>15055953.780000001</x:v>
      </x:c>
      <x:c r="Q490" s="287">
        <x:f t="shared" si="291"/>
        <x:v>23811857.16</x:v>
      </x:c>
      <x:c r="R490" s="287">
        <x:f t="shared" si="291"/>
        <x:v>19839325.379999999</x:v>
      </x:c>
      <x:c r="S490" s="287">
        <x:f t="shared" si="291"/>
        <x:v>18695982.899999999</x:v>
      </x:c>
      <x:c r="T490" s="287">
        <x:f t="shared" si="291"/>
        <x:v>0</x:v>
      </x:c>
      <x:c r="U490" s="287">
        <x:f t="shared" si="291"/>
        <x:v>0</x:v>
      </x:c>
      <x:c r="V490" s="282">
        <x:f t="shared" si="280"/>
        <x:v>184188973.5</x:v>
      </x:c>
      <x:c r="W490" s="1046" t="s">
        <x:v>349</x:v>
      </x:c>
    </x:row>
    <x:row r="491" spans="1:23" s="48" customFormat="1" ht="13.5">
      <x:c r="A491" s="58"/>
      <x:c r="B491" s="70"/>
      <x:c r="C491" s="235" t="s">
        <x:v>332</x:v>
      </x:c>
      <x:c r="D491" s="235"/>
      <x:c r="E491" s="235"/>
      <x:c r="F491" s="235" t="s">
        <x:v>366</x:v>
      </x:c>
      <x:c r="G491" s="236" t="s">
        <x:v>1035</x:v>
      </x:c>
      <x:c r="H491" s="235">
        <x:v>1</x:v>
      </x:c>
      <x:c r="I491" s="235" t="s">
        <x:v>1089</x:v>
      </x:c>
      <x:c r="J491" s="287">
        <x:f t="shared" ref="J491:U491" si="292">+$I$475*J335*J16</x:f>
        <x:v>2208945.2724000001</x:v>
      </x:c>
      <x:c r="K491" s="287">
        <x:f t="shared" si="292"/>
        <x:v>2269570.0178999999</x:v>
      </x:c>
      <x:c r="L491" s="287">
        <x:f t="shared" si="292"/>
        <x:v>4371595.2845999999</x:v>
      </x:c>
      <x:c r="M491" s="287">
        <x:f t="shared" si="292"/>
        <x:v>3697007.2074000002</x:v>
      </x:c>
      <x:c r="N491" s="287">
        <x:f t="shared" si="292"/>
        <x:v>2952976.2398999999</x:v>
      </x:c>
      <x:c r="O491" s="287">
        <x:f t="shared" si="292"/>
        <x:v>4678025.8163999999</x:v>
      </x:c>
      <x:c r="P491" s="287">
        <x:f t="shared" si="292"/>
        <x:v>2844953.9660999998</x:v>
      </x:c>
      <x:c r="Q491" s="287">
        <x:f t="shared" si="292"/>
        <x:v>4499458.3842000002</x:v>
      </x:c>
      <x:c r="R491" s="287">
        <x:f t="shared" si="292"/>
        <x:v>3748813.8081</x:v>
      </x:c>
      <x:c r="S491" s="287">
        <x:f t="shared" si="292"/>
        <x:v>3532769.2604999999</x:v>
      </x:c>
      <x:c r="T491" s="287">
        <x:f t="shared" si="292"/>
        <x:v>0</x:v>
      </x:c>
      <x:c r="U491" s="287">
        <x:f t="shared" si="292"/>
        <x:v>0</x:v>
      </x:c>
      <x:c r="V491" s="282">
        <x:f t="shared" si="280"/>
        <x:v>34804115.2575</x:v>
      </x:c>
      <x:c r="W491" s="1046"/>
    </x:row>
    <x:row r="492" spans="1:23" s="48" customFormat="1" ht="13.5">
      <x:c r="A492" s="58"/>
      <x:c r="B492" s="70"/>
      <x:c r="C492" s="240" t="s">
        <x:v>332</x:v>
      </x:c>
      <x:c r="D492" s="240"/>
      <x:c r="E492" s="240"/>
      <x:c r="F492" s="240" t="s">
        <x:v>351</x:v>
      </x:c>
      <x:c r="G492" s="241" t="s">
        <x:v>1036</x:v>
      </x:c>
      <x:c r="H492" s="240">
        <x:v>1</x:v>
      </x:c>
      <x:c r="I492" s="240" t="s">
        <x:v>1089</x:v>
      </x:c>
      <x:c r="J492" s="287">
        <x:f t="shared" ref="J492:U492" si="293">+$I$475*J336*J17</x:f>
        <x:v>1365322.7952000001</x:v>
      </x:c>
      <x:c r="K492" s="287">
        <x:f t="shared" si="293"/>
        <x:v>1402794.2291999999</x:v>
      </x:c>
      <x:c r="L492" s="287">
        <x:f t="shared" si="293"/>
        <x:v>2702031.0408000001</x:v>
      </x:c>
      <x:c r="M492" s="287">
        <x:f t="shared" si="293"/>
        <x:v>2285076.1751999999</x:v>
      </x:c>
      <x:c r="N492" s="287">
        <x:f t="shared" si="293"/>
        <x:v>1825199.4852</x:v>
      </x:c>
      <x:c r="O492" s="287">
        <x:f t="shared" si="293"/>
        <x:v>2891432.1072</x:v>
      </x:c>
      <x:c r="P492" s="287">
        <x:f t="shared" si="293"/>
        <x:v>1758432.2028000001</x:v>
      </x:c>
      <x:c r="Q492" s="287">
        <x:f t="shared" si="293"/>
        <x:v>2781061.7016000003</x:v>
      </x:c>
      <x:c r="R492" s="287">
        <x:f t="shared" si="293"/>
        <x:v>2317097.2187999999</x:v>
      </x:c>
      <x:c r="S492" s="287">
        <x:f t="shared" si="293"/>
        <x:v>2183562.6540000001</x:v>
      </x:c>
      <x:c r="T492" s="287">
        <x:f t="shared" si="293"/>
        <x:v>0</x:v>
      </x:c>
      <x:c r="U492" s="287">
        <x:f t="shared" si="293"/>
        <x:v>0</x:v>
      </x:c>
      <x:c r="V492" s="282">
        <x:f t="shared" si="280"/>
        <x:v>21512009.609999999</x:v>
      </x:c>
      <x:c r="W492" s="1046"/>
    </x:row>
    <x:row r="493" spans="1:23" s="48" customFormat="1" ht="13.5">
      <x:c r="A493" s="58"/>
      <x:c r="B493" s="70"/>
      <x:c r="C493" s="240" t="s">
        <x:v>332</x:v>
      </x:c>
      <x:c r="D493" s="240"/>
      <x:c r="E493" s="240"/>
      <x:c r="F493" s="240" t="s">
        <x:v>353</x:v>
      </x:c>
      <x:c r="G493" s="241" t="s">
        <x:v>1037</x:v>
      </x:c>
      <x:c r="H493" s="240">
        <x:v>3</x:v>
      </x:c>
      <x:c r="I493" s="240" t="s">
        <x:v>1089</x:v>
      </x:c>
      <x:c r="J493" s="287">
        <x:f t="shared" ref="J493:U493" si="294">+$I$475*J337*J18</x:f>
        <x:v>3794354.1612</x:v>
      </x:c>
      <x:c r="K493" s="287">
        <x:f t="shared" si="294"/>
        <x:v>3898490.6276999996</x:v>
      </x:c>
      <x:c r="L493" s="287">
        <x:f t="shared" si="294"/>
        <x:v>7509185.9298</x:v>
      </x:c>
      <x:c r="M493" s="287">
        <x:f t="shared" si="294"/>
        <x:v>6350431.0661999993</x:v>
      </x:c>
      <x:c r="N493" s="287">
        <x:f t="shared" si="294"/>
        <x:v>5072392.6136999996</x:v>
      </x:c>
      <x:c r="O493" s="287">
        <x:f t="shared" si="294"/>
        <x:v>8035548.4331999999</x:v>
      </x:c>
      <x:c r="P493" s="287">
        <x:f t="shared" si="294"/>
        <x:v>4886840.3642999995</x:v>
      </x:c>
      <x:c r="Q493" s="287">
        <x:f t="shared" si="294"/>
        <x:v>7728819.2045999998</x:v>
      </x:c>
      <x:c r="R493" s="287">
        <x:f t="shared" si="294"/>
        <x:v>6439420.4102999996</x:v>
      </x:c>
      <x:c r="S493" s="287">
        <x:f t="shared" si="294"/>
        <x:v>6068315.9114999995</x:v>
      </x:c>
      <x:c r="T493" s="287">
        <x:f t="shared" si="294"/>
        <x:v>0</x:v>
      </x:c>
      <x:c r="U493" s="287">
        <x:f t="shared" si="294"/>
        <x:v>0</x:v>
      </x:c>
      <x:c r="V493" s="282">
        <x:f t="shared" si="280"/>
        <x:v>59783798.722499996</x:v>
      </x:c>
      <x:c r="W493" s="1046"/>
    </x:row>
    <x:row r="494" spans="1:23" s="48" customFormat="1" ht="13.5">
      <x:c r="A494" s="58"/>
      <x:c r="B494" s="70"/>
      <x:c r="C494" s="240" t="s">
        <x:v>332</x:v>
      </x:c>
      <x:c r="D494" s="240"/>
      <x:c r="E494" s="240"/>
      <x:c r="F494" s="240" t="s">
        <x:v>354</x:v>
      </x:c>
      <x:c r="G494" s="241" t="s">
        <x:v>1038</x:v>
      </x:c>
      <x:c r="H494" s="240">
        <x:v>1</x:v>
      </x:c>
      <x:c r="I494" s="240" t="s">
        <x:v>1089</x:v>
      </x:c>
      <x:c r="J494" s="287">
        <x:f t="shared" ref="J494:U494" si="295">+$I$475*J338*J19</x:f>
        <x:v>1540265.3819999998</x:v>
      </x:c>
      <x:c r="K494" s="287">
        <x:f t="shared" si="295"/>
        <x:v>1582538.1344999997</x:v>
      </x:c>
      <x:c r="L494" s="287">
        <x:f t="shared" si="295"/>
        <x:v>3048249.7529999996</x:v>
      </x:c>
      <x:c r="M494" s="287">
        <x:f t="shared" si="295"/>
        <x:v>2577869.3069999996</x:v>
      </x:c>
      <x:c r="N494" s="287">
        <x:f t="shared" si="295"/>
        <x:v>2059067.3444999997</x:v>
      </x:c>
      <x:c r="O494" s="287">
        <x:f t="shared" si="295"/>
        <x:v>3261919.3019999997</x:v>
      </x:c>
      <x:c r="P494" s="287">
        <x:f t="shared" si="295"/>
        <x:v>1983744.9854999997</x:v>
      </x:c>
      <x:c r="Q494" s="287">
        <x:f t="shared" si="295"/>
        <x:v>3137406.8309999998</x:v>
      </x:c>
      <x:c r="R494" s="287">
        <x:f t="shared" si="295"/>
        <x:v>2613993.2954999995</x:v>
      </x:c>
      <x:c r="S494" s="287">
        <x:f t="shared" si="295"/>
        <x:v>2463348.5774999997</x:v>
      </x:c>
      <x:c r="T494" s="287">
        <x:f t="shared" si="295"/>
        <x:v>0</x:v>
      </x:c>
      <x:c r="U494" s="287">
        <x:f t="shared" si="295"/>
        <x:v>0</x:v>
      </x:c>
      <x:c r="V494" s="282">
        <x:f t="shared" si="280"/>
        <x:v>24268402.912499998</x:v>
      </x:c>
      <x:c r="W494" s="1046"/>
    </x:row>
    <x:row r="495" spans="1:23" s="48" customFormat="1" ht="13.5">
      <x:c r="A495" s="58"/>
      <x:c r="B495" s="70"/>
      <x:c r="C495" s="240" t="s">
        <x:v>332</x:v>
      </x:c>
      <x:c r="D495" s="240"/>
      <x:c r="E495" s="240"/>
      <x:c r="F495" s="240" t="s">
        <x:v>355</x:v>
      </x:c>
      <x:c r="G495" s="241" t="s">
        <x:v>1039</x:v>
      </x:c>
      <x:c r="H495" s="240">
        <x:v>1</x:v>
      </x:c>
      <x:c r="I495" s="240" t="s">
        <x:v>1089</x:v>
      </x:c>
      <x:c r="J495" s="287">
        <x:f t="shared" ref="J495:U495" si="296">+$I$475*J339*J20</x:f>
        <x:v>1003990.7736</x:v>
      </x:c>
      <x:c r="K495" s="287">
        <x:f t="shared" si="296"/>
        <x:v>1031545.4105999999</x:v>
      </x:c>
      <x:c r="L495" s="287">
        <x:f t="shared" si="296"/>
        <x:v>1986939.8243999998</x:v>
      </x:c>
      <x:c r="M495" s="287">
        <x:f t="shared" si="296"/>
        <x:v>1680331.8635999998</x:v>
      </x:c>
      <x:c r="N495" s="287">
        <x:f t="shared" si="296"/>
        <x:v>1342161.3185999999</x:v>
      </x:c>
      <x:c r="O495" s="287">
        <x:f t="shared" si="296"/>
        <x:v>2126215.9896</x:v>
      </x:c>
      <x:c r="P495" s="287">
        <x:f t="shared" si="296"/>
        <x:v>1293063.9653999999</x:v>
      </x:c>
      <x:c r="Q495" s="287">
        <x:f t="shared" si="296"/>
        <x:v>2045055.0587999998</x:v>
      </x:c>
      <x:c r="R495" s="287">
        <x:f t="shared" si="296"/>
        <x:v>1703878.5533999999</x:v>
      </x:c>
      <x:c r="S495" s="287">
        <x:f t="shared" si="296"/>
        <x:v>1605683.8469999998</x:v>
      </x:c>
      <x:c r="T495" s="287">
        <x:f t="shared" si="296"/>
        <x:v>0</x:v>
      </x:c>
      <x:c r="U495" s="287">
        <x:f t="shared" si="296"/>
        <x:v>0</x:v>
      </x:c>
      <x:c r="V495" s="282">
        <x:f t="shared" si="280"/>
        <x:v>15818866.604999999</x:v>
      </x:c>
      <x:c r="W495" s="1046"/>
    </x:row>
    <x:row r="496" spans="1:23" s="48" customFormat="1" ht="13.5">
      <x:c r="A496" s="58"/>
      <x:c r="B496" s="70"/>
      <x:c r="C496" s="240" t="s">
        <x:v>332</x:v>
      </x:c>
      <x:c r="D496" s="240"/>
      <x:c r="E496" s="240"/>
      <x:c r="F496" s="240" t="s">
        <x:v>356</x:v>
      </x:c>
      <x:c r="G496" s="241" t="s">
        <x:v>1040</x:v>
      </x:c>
      <x:c r="H496" s="240">
        <x:v>1</x:v>
      </x:c>
      <x:c r="I496" s="240" t="s">
        <x:v>1089</x:v>
      </x:c>
      <x:c r="J496" s="287">
        <x:f t="shared" ref="J496:U496" si="297">+$I$475*J340*J21</x:f>
        <x:v>1416578.1012000002</x:v>
      </x:c>
      <x:c r="K496" s="287">
        <x:f t="shared" si="297"/>
        <x:v>1455456.2427000001</x:v>
      </x:c>
      <x:c r="L496" s="287">
        <x:f t="shared" si="297"/>
        <x:v>2803467.4398000003</x:v>
      </x:c>
      <x:c r="M496" s="287">
        <x:f t="shared" si="297"/>
        <x:v>2370859.7562000002</x:v>
      </x:c>
      <x:c r="N496" s="287">
        <x:f t="shared" si="297"/>
        <x:v>1893718.9287</x:v>
      </x:c>
      <x:c r="O496" s="287">
        <x:f t="shared" si="297"/>
        <x:v>2999978.7732000002</x:v>
      </x:c>
      <x:c r="P496" s="287">
        <x:f t="shared" si="297"/>
        <x:v>1824445.1493000002</x:v>
      </x:c>
      <x:c r="Q496" s="287">
        <x:f t="shared" si="297"/>
        <x:v>2885464.9746000003</x:v>
      </x:c>
      <x:c r="R496" s="287">
        <x:f t="shared" si="297"/>
        <x:v>2404082.8953</x:v>
      </x:c>
      <x:c r="S496" s="287">
        <x:f t="shared" si="297"/>
        <x:v>2265535.3365000002</x:v>
      </x:c>
      <x:c r="T496" s="287">
        <x:f t="shared" si="297"/>
        <x:v>0</x:v>
      </x:c>
      <x:c r="U496" s="287">
        <x:f t="shared" si="297"/>
        <x:v>0</x:v>
      </x:c>
      <x:c r="V496" s="282">
        <x:f t="shared" si="280"/>
        <x:v>22319587.5975</x:v>
      </x:c>
      <x:c r="W496" s="1046"/>
    </x:row>
    <x:row r="497" spans="1:23" s="48" customFormat="1" ht="13.5">
      <x:c r="A497" s="58"/>
      <x:c r="B497" s="70"/>
      <x:c r="C497" s="240" t="s">
        <x:v>332</x:v>
      </x:c>
      <x:c r="D497" s="235"/>
      <x:c r="E497" s="235"/>
      <x:c r="F497" s="235" t="s">
        <x:v>357</x:v>
      </x:c>
      <x:c r="G497" s="236" t="s">
        <x:v>1041</x:v>
      </x:c>
      <x:c r="H497" s="235">
        <x:v>1</x:v>
      </x:c>
      <x:c r="I497" s="235" t="s">
        <x:v>1089</x:v>
      </x:c>
      <x:c r="J497" s="287">
        <x:f t="shared" ref="J497:U497" si="298">+$I$475*J341*J22</x:f>
        <x:v>724125.56039999996</x:v>
      </x:c>
      <x:c r="K497" s="287">
        <x:f t="shared" si="298"/>
        <x:v>743999.2659</x:v>
      </x:c>
      <x:c r="L497" s="287">
        <x:f t="shared" si="298"/>
        <x:v>1433074.8366</x:v>
      </x:c>
      <x:c r="M497" s="287">
        <x:f t="shared" si="298"/>
        <x:v>1211934.6954000001</x:v>
      </x:c>
      <x:c r="N497" s="287">
        <x:f t="shared" si="298"/>
        <x:v>968030.12789999996</x:v>
      </x:c>
      <x:c r="O497" s="287">
        <x:f t="shared" si="298"/>
        <x:v>1533527.3844000001</x:v>
      </x:c>
      <x:c r="P497" s="287">
        <x:f t="shared" si="298"/>
        <x:v>932618.79810000001</x:v>
      </x:c>
      <x:c r="Q497" s="287">
        <x:f t="shared" si="298"/>
        <x:v>1474990.2882000001</x:v>
      </x:c>
      <x:c r="R497" s="287">
        <x:f t="shared" si="298"/>
        <x:v>1228917.6801</x:v>
      </x:c>
      <x:c r="S497" s="287">
        <x:f t="shared" si="298"/>
        <x:v>1158095.0205000001</x:v>
      </x:c>
      <x:c r="T497" s="287">
        <x:f t="shared" si="298"/>
        <x:v>0</x:v>
      </x:c>
      <x:c r="U497" s="287">
        <x:f t="shared" si="298"/>
        <x:v>0</x:v>
      </x:c>
      <x:c r="V497" s="282">
        <x:f t="shared" si="280"/>
        <x:v>11409313.657500001</x:v>
      </x:c>
      <x:c r="W497" s="1046"/>
    </x:row>
    <x:row r="498" spans="1:23" s="48" customFormat="1" ht="13.5">
      <x:c r="A498" s="58"/>
      <x:c r="B498" s="70"/>
      <x:c r="C498" s="240" t="s">
        <x:v>332</x:v>
      </x:c>
      <x:c r="D498" s="61"/>
      <x:c r="E498" s="71"/>
      <x:c r="F498" s="72" t="s">
        <x:v>358</x:v>
      </x:c>
      <x:c r="G498" s="62" t="s">
        <x:v>359</x:v>
      </x:c>
      <x:c r="H498" s="73">
        <x:v>1</x:v>
      </x:c>
      <x:c r="I498" s="240" t="s">
        <x:v>1089</x:v>
      </x:c>
      <x:c r="J498" s="287">
        <x:f t="shared" ref="J498:U498" si="299">+$I$475*J342*J23</x:f>
        <x:v>1355531.652</x:v>
      </x:c>
      <x:c r="K498" s="287">
        <x:f t="shared" si="299"/>
        <x:v>1392734.3670000001</x:v>
      </x:c>
      <x:c r="L498" s="287">
        <x:f t="shared" si="299"/>
        <x:v>2682653.9580000001</x:v>
      </x:c>
      <x:c r="M498" s="287">
        <x:f t="shared" si="299"/>
        <x:v>2268689.202</x:v>
      </x:c>
      <x:c r="N498" s="287">
        <x:f t="shared" si="299"/>
        <x:v>1812110.4270000001</x:v>
      </x:c>
      <x:c r="O498" s="287">
        <x:f t="shared" si="299"/>
        <x:v>2870696.7719999999</x:v>
      </x:c>
      <x:c r="P498" s="287">
        <x:f t="shared" si="299"/>
        <x:v>1745821.953</x:v>
      </x:c>
      <x:c r="Q498" s="287">
        <x:f t="shared" si="299"/>
        <x:v>2761117.8659999999</x:v>
      </x:c>
      <x:c r="R498" s="287">
        <x:f t="shared" si="299"/>
        <x:v>2300480.6129999999</x:v>
      </x:c>
      <x:c r="S498" s="287">
        <x:f t="shared" si="299"/>
        <x:v>2167903.665</x:v>
      </x:c>
      <x:c r="T498" s="287">
        <x:f t="shared" si="299"/>
        <x:v>0</x:v>
      </x:c>
      <x:c r="U498" s="287">
        <x:f t="shared" si="299"/>
        <x:v>0</x:v>
      </x:c>
      <x:c r="V498" s="282">
        <x:f t="shared" si="280"/>
        <x:v>21357740.474999994</x:v>
      </x:c>
      <x:c r="W498" s="1046"/>
    </x:row>
    <x:row r="499" spans="1:23" s="48" customFormat="1" ht="13.5">
      <x:c r="A499" s="58"/>
      <x:c r="B499" s="70"/>
      <x:c r="C499" s="240" t="s">
        <x:v>332</x:v>
      </x:c>
      <x:c r="D499" s="240"/>
      <x:c r="E499" s="244"/>
      <x:c r="F499" s="245" t="s">
        <x:v>360</x:v>
      </x:c>
      <x:c r="G499" s="241" t="s">
        <x:v>1042</x:v>
      </x:c>
      <x:c r="H499" s="246">
        <x:v>1</x:v>
      </x:c>
      <x:c r="I499" s="240" t="s">
        <x:v>1089</x:v>
      </x:c>
      <x:c r="J499" s="287">
        <x:f t="shared" ref="J499:U499" si="300">+$I$475*J343*J24</x:f>
        <x:v>1413133.8263999999</x:v>
      </x:c>
      <x:c r="K499" s="287">
        <x:f t="shared" si="300"/>
        <x:v>1451917.4393999998</x:v>
      </x:c>
      <x:c r="L499" s="287">
        <x:f t="shared" si="300"/>
        <x:v>2796651.0755999996</x:v>
      </x:c>
      <x:c r="M499" s="287">
        <x:f t="shared" si="300"/>
        <x:v>2365095.2363999998</x:v>
      </x:c>
      <x:c r="N499" s="287">
        <x:f t="shared" si="300"/>
        <x:v>1889114.5313999997</x:v>
      </x:c>
      <x:c r="O499" s="287">
        <x:f t="shared" si="300"/>
        <x:v>2992684.6103999997</x:v>
      </x:c>
      <x:c r="P499" s="287">
        <x:f t="shared" si="300"/>
        <x:v>1820009.1845999998</x:v>
      </x:c>
      <x:c r="Q499" s="287">
        <x:f t="shared" si="300"/>
        <x:v>2878449.2411999996</x:v>
      </x:c>
      <x:c r="R499" s="287">
        <x:f t="shared" si="300"/>
        <x:v>2398237.5965999998</x:v>
      </x:c>
      <x:c r="S499" s="287">
        <x:f t="shared" si="300"/>
        <x:v>2260026.9029999999</x:v>
      </x:c>
      <x:c r="T499" s="287">
        <x:f t="shared" si="300"/>
        <x:v>0</x:v>
      </x:c>
      <x:c r="U499" s="287">
        <x:f t="shared" si="300"/>
        <x:v>0</x:v>
      </x:c>
      <x:c r="V499" s="282">
        <x:f t="shared" si="280"/>
        <x:v>22265319.645</x:v>
      </x:c>
      <x:c r="W499" s="1046"/>
    </x:row>
    <x:row r="500" spans="1:23" s="48" customFormat="1" ht="13.5">
      <x:c r="A500" s="58"/>
      <x:c r="B500" s="70"/>
      <x:c r="C500" s="240" t="s">
        <x:v>332</x:v>
      </x:c>
      <x:c r="D500" s="240"/>
      <x:c r="E500" s="240"/>
      <x:c r="F500" s="240" t="s">
        <x:v>361</x:v>
      </x:c>
      <x:c r="G500" s="241" t="s">
        <x:v>1043</x:v>
      </x:c>
      <x:c r="H500" s="240">
        <x:v>1</x:v>
      </x:c>
      <x:c r="I500" s="240" t="s">
        <x:v>1089</x:v>
      </x:c>
      <x:c r="J500" s="287">
        <x:f t="shared" ref="J500:U500" si="301">+$I$475*J344*J25</x:f>
        <x:v>1291459.9643999999</x:v>
      </x:c>
      <x:c r="K500" s="287">
        <x:f t="shared" si="301"/>
        <x:v>1326904.2249</x:v>
      </x:c>
      <x:c r="L500" s="287">
        <x:f t="shared" si="301"/>
        <x:v>2555853.4026000001</x:v>
      </x:c>
      <x:c r="M500" s="287">
        <x:f t="shared" si="301"/>
        <x:v>2161455.4493999998</x:v>
      </x:c>
      <x:c r="N500" s="287">
        <x:f t="shared" si="301"/>
        <x:v>1726457.7069000001</x:v>
      </x:c>
      <x:c r="O500" s="287">
        <x:f t="shared" si="301"/>
        <x:v>2735008.0284000002</x:v>
      </x:c>
      <x:c r="P500" s="287">
        <x:f t="shared" si="301"/>
        <x:v>1663302.4791000001</x:v>
      </x:c>
      <x:c r="Q500" s="287">
        <x:f t="shared" si="301"/>
        <x:v>2630608.5702</x:v>
      </x:c>
      <x:c r="R500" s="287">
        <x:f t="shared" si="301"/>
        <x:v>2191744.1811000002</x:v>
      </x:c>
      <x:c r="S500" s="287">
        <x:f t="shared" si="301"/>
        <x:v>2065433.7254999999</x:v>
      </x:c>
      <x:c r="T500" s="287">
        <x:f t="shared" si="301"/>
        <x:v>0</x:v>
      </x:c>
      <x:c r="U500" s="287">
        <x:f t="shared" si="301"/>
        <x:v>0</x:v>
      </x:c>
      <x:c r="V500" s="282">
        <x:f t="shared" si="280"/>
        <x:v>20348227.732500002</x:v>
      </x:c>
      <x:c r="W500" s="1046"/>
    </x:row>
    <x:row r="501" spans="1:23" s="48" customFormat="1" ht="13.5">
      <x:c r="A501" s="58"/>
      <x:c r="B501" s="70"/>
      <x:c r="C501" s="240" t="s">
        <x:v>332</x:v>
      </x:c>
      <x:c r="D501" s="235"/>
      <x:c r="E501" s="235"/>
      <x:c r="F501" s="235" t="s">
        <x:v>362</x:v>
      </x:c>
      <x:c r="G501" s="236" t="s">
        <x:v>1044</x:v>
      </x:c>
      <x:c r="H501" s="235">
        <x:v>1</x:v>
      </x:c>
      <x:c r="I501" s="235" t="s">
        <x:v>1089</x:v>
      </x:c>
      <x:c r="J501" s="287">
        <x:f t="shared" ref="J501:U501" si="302">+$I$475*J345*J26</x:f>
        <x:v>1369819.7711999998</x:v>
      </x:c>
      <x:c r="K501" s="287">
        <x:f t="shared" si="302"/>
        <x:v>1407414.6251999999</x:v>
      </x:c>
      <x:c r="L501" s="287">
        <x:f t="shared" si="302"/>
        <x:v>2710930.7448</x:v>
      </x:c>
      <x:c r="M501" s="287">
        <x:f t="shared" si="302"/>
        <x:v>2292602.5511999996</x:v>
      </x:c>
      <x:c r="N501" s="287">
        <x:f t="shared" si="302"/>
        <x:v>1831211.1611999997</x:v>
      </x:c>
      <x:c r="O501" s="287">
        <x:f t="shared" si="302"/>
        <x:v>2900955.6431999998</x:v>
      </x:c>
      <x:c r="P501" s="287">
        <x:f t="shared" si="302"/>
        <x:v>1764223.9667999998</x:v>
      </x:c>
      <x:c r="Q501" s="287">
        <x:f t="shared" si="302"/>
        <x:v>2790221.7095999997</x:v>
      </x:c>
      <x:c r="R501" s="287">
        <x:f t="shared" si="302"/>
        <x:v>2324729.0628</x:v>
      </x:c>
      <x:c r="S501" s="287">
        <x:f t="shared" si="302"/>
        <x:v>2190754.6739999996</x:v>
      </x:c>
      <x:c r="T501" s="287">
        <x:f t="shared" si="302"/>
        <x:v>0</x:v>
      </x:c>
      <x:c r="U501" s="287">
        <x:f t="shared" si="302"/>
        <x:v>0</x:v>
      </x:c>
      <x:c r="V501" s="282">
        <x:f t="shared" si="280"/>
        <x:v>21582863.909999996</x:v>
      </x:c>
      <x:c r="W501" s="1046"/>
    </x:row>
    <x:row r="502" spans="1:23" s="48" customFormat="1" ht="13.5">
      <x:c r="A502" s="58"/>
      <x:c r="B502" s="315"/>
      <x:c r="C502" s="240" t="s">
        <x:v>332</x:v>
      </x:c>
      <x:c r="D502" s="240"/>
      <x:c r="E502" s="240"/>
      <x:c r="F502" s="240" t="s">
        <x:v>351</x:v>
      </x:c>
      <x:c r="G502" s="236" t="s">
        <x:v>352</x:v>
      </x:c>
      <x:c r="H502" s="235">
        <x:v>1</x:v>
      </x:c>
      <x:c r="I502" s="235" t="s">
        <x:v>1089</x:v>
      </x:c>
      <x:c r="J502" s="287">
        <x:f t="shared" ref="J502:U502" si="303">+$I$475*J346*J27</x:f>
        <x:v>906948.0756000001</x:v>
      </x:c>
      <x:c r="K502" s="287">
        <x:f t="shared" si="303"/>
        <x:v>931839.36510000005</x:v>
      </x:c>
      <x:c r="L502" s="287">
        <x:f t="shared" si="303"/>
        <x:v>1794888.2574000002</x:v>
      </x:c>
      <x:c r="M502" s="287">
        <x:f t="shared" si="303"/>
        <x:v>1517916.0906000002</x:v>
      </x:c>
      <x:c r="N502" s="287">
        <x:f t="shared" si="303"/>
        <x:v>1212432.0831000002</x:v>
      </x:c>
      <x:c r="O502" s="287">
        <x:f t="shared" si="303"/>
        <x:v>1920702.4116000002</x:v>
      </x:c>
      <x:c r="P502" s="287">
        <x:f t="shared" si="303"/>
        <x:v>1168080.3309000002</x:v>
      </x:c>
      <x:c r="Q502" s="287">
        <x:f t="shared" si="303"/>
        <x:v>1847386.2498000001</x:v>
      </x:c>
      <x:c r="R502" s="287">
        <x:f t="shared" si="303"/>
        <x:v>1539186.8289000001</x:v>
      </x:c>
      <x:c r="S502" s="287">
        <x:f t="shared" si="303"/>
        <x:v>1450483.3245000001</x:v>
      </x:c>
      <x:c r="T502" s="287">
        <x:f t="shared" si="303"/>
        <x:v>0</x:v>
      </x:c>
      <x:c r="U502" s="287">
        <x:f t="shared" si="303"/>
        <x:v>0</x:v>
      </x:c>
      <x:c r="V502" s="282">
        <x:f t="shared" si="280"/>
        <x:v>14289863.017500002</x:v>
      </x:c>
      <x:c r="W502" s="1046"/>
    </x:row>
    <x:row r="503" spans="1:23" s="48" customFormat="1" ht="13.5">
      <x:c r="A503" s="58"/>
      <x:c r="B503" s="289" t="s">
        <x:v>435</x:v>
      </x:c>
      <x:c r="C503" s="127"/>
      <x:c r="D503" s="127"/>
      <x:c r="E503" s="127"/>
      <x:c r="F503" s="127"/>
      <x:c r="G503" s="127"/>
      <x:c r="H503" s="290"/>
      <x:c r="I503" s="290"/>
      <x:c r="J503" s="300">
        <x:f>SUM(J490:J502)</x:f>
        <x:v>30080568.855599999</x:v>
      </x:c>
      <x:c r="K503" s="300">
        <x:f t="shared" ref="K503:U503" si="304">SUM(K490:K502)</x:f>
        <x:v>30906133.370099995</x:v>
      </x:c>
      <x:c r="L503" s="300">
        <x:f t="shared" si="304"/>
        <x:v>59530706.627399996</x:v>
      </x:c>
      <x:c r="M503" s="300">
        <x:f t="shared" si="304"/>
        <x:v>50344425.1206</x:v>
      </x:c>
      <x:c r="N503" s="300">
        <x:f t="shared" si="304"/>
        <x:v>40212496.9881</x:v>
      </x:c>
      <x:c r="O503" s="300">
        <x:f t="shared" si="304"/>
        <x:v>63703559.991600007</x:v>
      </x:c>
      <x:c r="P503" s="300">
        <x:f t="shared" si="304"/>
        <x:v>38741491.125899993</x:v>
      </x:c>
      <x:c r="Q503" s="300">
        <x:f t="shared" si="304"/>
        <x:v>61271897.239799991</x:v>
      </x:c>
      <x:c r="R503" s="300">
        <x:f t="shared" si="304"/>
        <x:v>51049907.52390001</x:v>
      </x:c>
      <x:c r="S503" s="300">
        <x:f t="shared" si="304"/>
        <x:v>48107895.799500003</x:v>
      </x:c>
      <x:c r="T503" s="300">
        <x:f t="shared" si="304"/>
        <x:v>0</x:v>
      </x:c>
      <x:c r="U503" s="300">
        <x:f t="shared" si="304"/>
        <x:v>0</x:v>
      </x:c>
      <x:c r="V503" s="301">
        <x:f>SUM(J503:U503)</x:f>
        <x:v>473949082.64249998</x:v>
      </x:c>
      <x:c r="W503" s="1046"/>
    </x:row>
    <x:row r="504" spans="1:23" s="48" customFormat="1" ht="13.5">
      <x:c r="A504" s="58"/>
      <x:c r="B504" s="66" t="s">
        <x:v>363</x:v>
      </x:c>
      <x:c r="C504" s="235" t="s">
        <x:v>332</x:v>
      </x:c>
      <x:c r="D504" s="235"/>
      <x:c r="E504" s="235"/>
      <x:c r="F504" s="235" t="s">
        <x:v>364</x:v>
      </x:c>
      <x:c r="G504" s="236" t="s">
        <x:v>1045</x:v>
      </x:c>
      <x:c r="H504" s="235">
        <x:v>1</x:v>
      </x:c>
      <x:c r="I504" s="235" t="s">
        <x:v>1089</x:v>
      </x:c>
      <x:c r="J504" s="284">
        <x:f t="shared" ref="J504:U504" si="305">+$I$475*J347*J28</x:f>
        <x:v>420056.91</x:v>
      </x:c>
      <x:c r="K504" s="284">
        <x:f t="shared" si="305"/>
        <x:v>3606027.0119999996</x:v>
      </x:c>
      <x:c r="L504" s="284">
        <x:f t="shared" si="305"/>
        <x:v>6333165.7199999997</x:v>
      </x:c>
      <x:c r="M504" s="284">
        <x:f t="shared" si="305"/>
        <x:v>5060070.1619999995</x:v>
      </x:c>
      <x:c r="N504" s="284">
        <x:f t="shared" si="305"/>
        <x:v>3799899.432</x:v>
      </x:c>
      <x:c r="O504" s="284">
        <x:f t="shared" si="305"/>
        <x:v>6488263.6559999995</x:v>
      </x:c>
      <x:c r="P504" s="284">
        <x:f t="shared" si="305"/>
        <x:v>3567252.5279999999</x:v>
      </x:c>
      <x:c r="Q504" s="284">
        <x:f t="shared" si="305"/>
        <x:v>6074669.1600000001</x:v>
      </x:c>
      <x:c r="R504" s="284">
        <x:f t="shared" si="305"/>
        <x:v>4950209.1239999998</x:v>
      </x:c>
      <x:c r="S504" s="284">
        <x:f t="shared" si="305"/>
        <x:v>5021295.6779999994</x:v>
      </x:c>
      <x:c r="T504" s="284">
        <x:f t="shared" si="305"/>
        <x:v>0</x:v>
      </x:c>
      <x:c r="U504" s="284">
        <x:f t="shared" si="305"/>
        <x:v>0</x:v>
      </x:c>
      <x:c r="V504" s="282">
        <x:f>SUM(J504:U504)</x:f>
        <x:v>45320909.381999999</x:v>
      </x:c>
      <x:c r="W504" s="1046" t="s">
        <x:v>365</x:v>
      </x:c>
    </x:row>
    <x:row r="505" spans="1:23" s="48" customFormat="1" ht="13.5">
      <x:c r="A505" s="58"/>
      <x:c r="B505" s="70"/>
      <x:c r="C505" s="235" t="s">
        <x:v>332</x:v>
      </x:c>
      <x:c r="D505" s="235"/>
      <x:c r="E505" s="235"/>
      <x:c r="F505" s="235" t="s">
        <x:v>366</x:v>
      </x:c>
      <x:c r="G505" s="236" t="s">
        <x:v>1035</x:v>
      </x:c>
      <x:c r="H505" s="235">
        <x:v>1</x:v>
      </x:c>
      <x:c r="I505" s="235" t="s">
        <x:v>1089</x:v>
      </x:c>
      <x:c r="J505" s="284">
        <x:f t="shared" ref="J505:U505" si="306">+$I$475*J348*J29</x:f>
        <x:v>71647.426500000001</x:v>
      </x:c>
      <x:c r="K505" s="284">
        <x:f t="shared" si="306"/>
        <x:v>615065.59979999997</x:v>
      </x:c>
      <x:c r="L505" s="284">
        <x:f t="shared" si="306"/>
        <x:v>1080222.7379999999</x:v>
      </x:c>
      <x:c r="M505" s="284">
        <x:f t="shared" si="306"/>
        <x:v>863075.92229999998</x:v>
      </x:c>
      <x:c r="N505" s="284">
        <x:f t="shared" si="306"/>
        <x:v>648133.64280000003</x:v>
      </x:c>
      <x:c r="O505" s="284">
        <x:f t="shared" si="306"/>
        <x:v>1106677.1724</x:v>
      </x:c>
      <x:c r="P505" s="284">
        <x:f t="shared" si="306"/>
        <x:v>608451.99120000005</x:v>
      </x:c>
      <x:c r="Q505" s="284">
        <x:f t="shared" si="306"/>
        <x:v>1036132.014</x:v>
      </x:c>
      <x:c r="R505" s="284">
        <x:f t="shared" si="306"/>
        <x:v>844337.36459999997</x:v>
      </x:c>
      <x:c r="S505" s="284">
        <x:f t="shared" si="306"/>
        <x:v>856462.31370000006</x:v>
      </x:c>
      <x:c r="T505" s="284">
        <x:f t="shared" si="306"/>
        <x:v>0</x:v>
      </x:c>
      <x:c r="U505" s="284">
        <x:f t="shared" si="306"/>
        <x:v>0</x:v>
      </x:c>
      <x:c r="V505" s="282">
        <x:f t="shared" ref="V505:V516" si="307">SUM(J505:U505)</x:f>
        <x:v>7730206.1852999991</x:v>
      </x:c>
      <x:c r="W505" s="1046"/>
    </x:row>
    <x:row r="506" spans="1:23" s="48" customFormat="1" ht="13.5">
      <x:c r="A506" s="58"/>
      <x:c r="B506" s="70"/>
      <x:c r="C506" s="240" t="s">
        <x:v>332</x:v>
      </x:c>
      <x:c r="D506" s="240"/>
      <x:c r="E506" s="240"/>
      <x:c r="F506" s="240" t="s">
        <x:v>351</x:v>
      </x:c>
      <x:c r="G506" s="241" t="s">
        <x:v>1036</x:v>
      </x:c>
      <x:c r="H506" s="240">
        <x:v>1</x:v>
      </x:c>
      <x:c r="I506" s="240" t="s">
        <x:v>1089</x:v>
      </x:c>
      <x:c r="J506" s="284">
        <x:f t="shared" ref="J506:U506" si="308">+$I$475*J349*J30</x:f>
        <x:v>44284.421999999999</x:v>
      </x:c>
      <x:c r="K506" s="284">
        <x:f t="shared" si="308"/>
        <x:v>380164.7304</x:v>
      </x:c>
      <x:c r="L506" s="284">
        <x:f t="shared" si="308"/>
        <x:v>667672.82400000002</x:v>
      </x:c>
      <x:c r="M506" s="284">
        <x:f t="shared" si="308"/>
        <x:v>533456.96039999998</x:v>
      </x:c>
      <x:c r="N506" s="284">
        <x:f t="shared" si="308"/>
        <x:v>400603.69440000004</x:v>
      </x:c>
      <x:c r="O506" s="284">
        <x:f t="shared" si="308"/>
        <x:v>684023.9952</x:v>
      </x:c>
      <x:c r="P506" s="284">
        <x:f t="shared" si="308"/>
        <x:v>376076.9376</x:v>
      </x:c>
      <x:c r="Q506" s="284">
        <x:f t="shared" si="308"/>
        <x:v>640420.87199999997</x:v>
      </x:c>
      <x:c r="R506" s="284">
        <x:f t="shared" si="308"/>
        <x:v>521874.88080000004</x:v>
      </x:c>
      <x:c r="S506" s="284">
        <x:f t="shared" si="308"/>
        <x:v>529369.16760000004</x:v>
      </x:c>
      <x:c r="T506" s="284">
        <x:f t="shared" si="308"/>
        <x:v>0</x:v>
      </x:c>
      <x:c r="U506" s="284">
        <x:f t="shared" si="308"/>
        <x:v>0</x:v>
      </x:c>
      <x:c r="V506" s="282">
        <x:f t="shared" si="307"/>
        <x:v>4777948.4844000004</x:v>
      </x:c>
      <x:c r="W506" s="1046"/>
    </x:row>
    <x:row r="507" spans="1:23" s="48" customFormat="1" ht="13.5">
      <x:c r="A507" s="58"/>
      <x:c r="B507" s="70"/>
      <x:c r="C507" s="240" t="s">
        <x:v>332</x:v>
      </x:c>
      <x:c r="D507" s="240"/>
      <x:c r="E507" s="240"/>
      <x:c r="F507" s="240" t="s">
        <x:v>353</x:v>
      </x:c>
      <x:c r="G507" s="241" t="s">
        <x:v>1037</x:v>
      </x:c>
      <x:c r="H507" s="240">
        <x:v>3</x:v>
      </x:c>
      <x:c r="I507" s="240" t="s">
        <x:v>1089</x:v>
      </x:c>
      <x:c r="J507" s="284">
        <x:f t="shared" ref="J507:U507" si="309">+$I$475*J350*J31</x:f>
        <x:v>123070.3695</x:v>
      </x:c>
      <x:c r="K507" s="284">
        <x:f t="shared" si="309"/>
        <x:v>1056511.7874</x:v>
      </x:c>
      <x:c r="L507" s="284">
        <x:f t="shared" si="309"/>
        <x:v>1855522.4939999999</x:v>
      </x:c>
      <x:c r="M507" s="284">
        <x:f t="shared" si="309"/>
        <x:v>1482524.6048999999</x:v>
      </x:c>
      <x:c r="N507" s="284">
        <x:f t="shared" si="309"/>
        <x:v>1113313.4964000001</x:v>
      </x:c>
      <x:c r="O507" s="284">
        <x:f t="shared" si="309"/>
        <x:v>1900963.8611999999</x:v>
      </x:c>
      <x:c r="P507" s="284">
        <x:f t="shared" si="309"/>
        <x:v>1045151.4456</x:v>
      </x:c>
      <x:c r="Q507" s="284">
        <x:f t="shared" si="309"/>
        <x:v>1779786.882</x:v>
      </x:c>
      <x:c r="R507" s="284">
        <x:f t="shared" si="309"/>
        <x:v>1450336.9697999998</x:v>
      </x:c>
      <x:c r="S507" s="284">
        <x:f t="shared" si="309"/>
        <x:v>1471164.2630999999</x:v>
      </x:c>
      <x:c r="T507" s="284">
        <x:f t="shared" si="309"/>
        <x:v>0</x:v>
      </x:c>
      <x:c r="U507" s="284">
        <x:f t="shared" si="309"/>
        <x:v>0</x:v>
      </x:c>
      <x:c r="V507" s="282">
        <x:f t="shared" si="307"/>
        <x:v>13278346.173899999</x:v>
      </x:c>
      <x:c r="W507" s="1046"/>
    </x:row>
    <x:row r="508" spans="1:23" s="48" customFormat="1" ht="13.5">
      <x:c r="A508" s="58"/>
      <x:c r="B508" s="70"/>
      <x:c r="C508" s="240" t="s">
        <x:v>332</x:v>
      </x:c>
      <x:c r="D508" s="240"/>
      <x:c r="E508" s="240"/>
      <x:c r="F508" s="240" t="s">
        <x:v>354</x:v>
      </x:c>
      <x:c r="G508" s="241" t="s">
        <x:v>1038</x:v>
      </x:c>
      <x:c r="H508" s="240">
        <x:v>1</x:v>
      </x:c>
      <x:c r="I508" s="240" t="s">
        <x:v>1089</x:v>
      </x:c>
      <x:c r="J508" s="284">
        <x:f t="shared" ref="J508:U508" si="310">+$I$475*J351*J32</x:f>
        <x:v>49958.707499999997</x:v>
      </x:c>
      <x:c r="K508" s="284">
        <x:f t="shared" si="310"/>
        <x:v>428876.28899999993</x:v>
      </x:c>
      <x:c r="L508" s="284">
        <x:f t="shared" si="310"/>
        <x:v>753223.58999999985</x:v>
      </x:c>
      <x:c r="M508" s="284">
        <x:f t="shared" si="310"/>
        <x:v>601810.27649999992</x:v>
      </x:c>
      <x:c r="N508" s="284">
        <x:f t="shared" si="310"/>
        <x:v>451934.15399999992</x:v>
      </x:c>
      <x:c r="O508" s="284">
        <x:f t="shared" si="310"/>
        <x:v>771669.88199999987</x:v>
      </x:c>
      <x:c r="P508" s="284">
        <x:f t="shared" si="310"/>
        <x:v>424264.71599999996</x:v>
      </x:c>
      <x:c r="Q508" s="284">
        <x:f t="shared" si="310"/>
        <x:v>722479.7699999999</x:v>
      </x:c>
      <x:c r="R508" s="284">
        <x:f t="shared" si="310"/>
        <x:v>588744.15299999993</x:v>
      </x:c>
      <x:c r="S508" s="284">
        <x:f t="shared" si="310"/>
        <x:v>597198.70349999995</x:v>
      </x:c>
      <x:c r="T508" s="284">
        <x:f t="shared" si="310"/>
        <x:v>0</x:v>
      </x:c>
      <x:c r="U508" s="284">
        <x:f t="shared" si="310"/>
        <x:v>0</x:v>
      </x:c>
      <x:c r="V508" s="282">
        <x:f t="shared" si="307"/>
        <x:v>5390160.2414999986</x:v>
      </x:c>
      <x:c r="W508" s="1046"/>
    </x:row>
    <x:row r="509" spans="1:23" s="48" customFormat="1" ht="13.5">
      <x:c r="A509" s="58"/>
      <x:c r="B509" s="70"/>
      <x:c r="C509" s="240" t="s">
        <x:v>332</x:v>
      </x:c>
      <x:c r="D509" s="240"/>
      <x:c r="E509" s="240"/>
      <x:c r="F509" s="240" t="s">
        <x:v>355</x:v>
      </x:c>
      <x:c r="G509" s="241" t="s">
        <x:v>1039</x:v>
      </x:c>
      <x:c r="H509" s="240">
        <x:v>1</x:v>
      </x:c>
      <x:c r="I509" s="240" t="s">
        <x:v>1089</x:v>
      </x:c>
      <x:c r="J509" s="284">
        <x:f t="shared" ref="J509:U509" si="311">+$I$475*J352*J33</x:f>
        <x:v>32564.570999999996</x:v>
      </x:c>
      <x:c r="K509" s="284">
        <x:f t="shared" si="311"/>
        <x:v>279554.31719999999</x:v>
      </x:c>
      <x:c r="L509" s="284">
        <x:f t="shared" si="311"/>
        <x:v>490973.53199999995</x:v>
      </x:c>
      <x:c r="M509" s="284">
        <x:f t="shared" si="311"/>
        <x:v>392277.83219999995</x:v>
      </x:c>
      <x:c r="N509" s="284">
        <x:f t="shared" si="311"/>
        <x:v>294584.11919999996</x:v>
      </x:c>
      <x:c r="O509" s="284">
        <x:f t="shared" si="311"/>
        <x:v>502997.37359999993</x:v>
      </x:c>
      <x:c r="P509" s="284">
        <x:f t="shared" si="311"/>
        <x:v>276548.35679999995</x:v>
      </x:c>
      <x:c r="Q509" s="284">
        <x:f t="shared" si="311"/>
        <x:v>470933.79599999997</x:v>
      </x:c>
      <x:c r="R509" s="284">
        <x:f t="shared" si="311"/>
        <x:v>383760.94439999998</x:v>
      </x:c>
      <x:c r="S509" s="284">
        <x:f t="shared" si="311"/>
        <x:v>389271.87179999996</x:v>
      </x:c>
      <x:c r="T509" s="284">
        <x:f t="shared" si="311"/>
        <x:v>0</x:v>
      </x:c>
      <x:c r="U509" s="284">
        <x:f t="shared" si="311"/>
        <x:v>0</x:v>
      </x:c>
      <x:c r="V509" s="282">
        <x:f t="shared" si="307"/>
        <x:v>3513466.7141999998</x:v>
      </x:c>
      <x:c r="W509" s="1046"/>
    </x:row>
    <x:row r="510" spans="1:23" s="48" customFormat="1" ht="13.5">
      <x:c r="A510" s="58"/>
      <x:c r="B510" s="70"/>
      <x:c r="C510" s="240" t="s">
        <x:v>332</x:v>
      </x:c>
      <x:c r="D510" s="240"/>
      <x:c r="E510" s="240"/>
      <x:c r="F510" s="240" t="s">
        <x:v>356</x:v>
      </x:c>
      <x:c r="G510" s="241" t="s">
        <x:v>1040</x:v>
      </x:c>
      <x:c r="H510" s="240">
        <x:v>1</x:v>
      </x:c>
      <x:c r="I510" s="240" t="s">
        <x:v>1089</x:v>
      </x:c>
      <x:c r="J510" s="284">
        <x:f t="shared" ref="J510:U510" si="312">+$I$475*J353*J34</x:f>
        <x:v>45946.894500000002</x:v>
      </x:c>
      <x:c r="K510" s="284">
        <x:f t="shared" si="312"/>
        <x:v>394436.41740000003</x:v>
      </x:c>
      <x:c r="L510" s="284">
        <x:f t="shared" si="312"/>
        <x:v>692737.79399999999</x:v>
      </x:c>
      <x:c r="M510" s="284">
        <x:f t="shared" si="312"/>
        <x:v>553483.35990000004</x:v>
      </x:c>
      <x:c r="N510" s="284">
        <x:f t="shared" si="312"/>
        <x:v>415642.6764</x:v>
      </x:c>
      <x:c r="O510" s="284">
        <x:f t="shared" si="312"/>
        <x:v>709702.80119999999</x:v>
      </x:c>
      <x:c r="P510" s="284">
        <x:f t="shared" si="312"/>
        <x:v>390195.16560000001</x:v>
      </x:c>
      <x:c r="Q510" s="284">
        <x:f t="shared" si="312"/>
        <x:v>664462.78200000001</x:v>
      </x:c>
      <x:c r="R510" s="284">
        <x:f t="shared" si="312"/>
        <x:v>541466.47979999997</x:v>
      </x:c>
      <x:c r="S510" s="284">
        <x:f t="shared" si="312"/>
        <x:v>549242.10810000007</x:v>
      </x:c>
      <x:c r="T510" s="284">
        <x:f t="shared" si="312"/>
        <x:v>0</x:v>
      </x:c>
      <x:c r="U510" s="284">
        <x:f t="shared" si="312"/>
        <x:v>0</x:v>
      </x:c>
      <x:c r="V510" s="282">
        <x:f t="shared" si="307"/>
        <x:v>4957316.4789000005</x:v>
      </x:c>
      <x:c r="W510" s="1046"/>
    </x:row>
    <x:row r="511" spans="1:23" s="48" customFormat="1" ht="13.5">
      <x:c r="A511" s="58"/>
      <x:c r="B511" s="70"/>
      <x:c r="C511" s="240" t="s">
        <x:v>332</x:v>
      </x:c>
      <x:c r="D511" s="235"/>
      <x:c r="E511" s="235"/>
      <x:c r="F511" s="235" t="s">
        <x:v>357</x:v>
      </x:c>
      <x:c r="G511" s="236" t="s">
        <x:v>1041</x:v>
      </x:c>
      <x:c r="H511" s="235">
        <x:v>1</x:v>
      </x:c>
      <x:c r="I511" s="235" t="s">
        <x:v>1089</x:v>
      </x:c>
      <x:c r="J511" s="284">
        <x:f t="shared" ref="J511:U511" si="313">+$I$475*J354*J35</x:f>
        <x:v>23487.106500000002</x:v>
      </x:c>
      <x:c r="K511" s="284">
        <x:f t="shared" si="313"/>
        <x:v>201627.7758</x:v>
      </x:c>
      <x:c r="L511" s="284">
        <x:f t="shared" si="313"/>
        <x:v>354113.29800000001</x:v>
      </x:c>
      <x:c r="M511" s="284">
        <x:f t="shared" si="313"/>
        <x:v>282929.29830000002</x:v>
      </x:c>
      <x:c r="N511" s="284">
        <x:f t="shared" si="313"/>
        <x:v>212467.97880000001</x:v>
      </x:c>
      <x:c r="O511" s="284">
        <x:f t="shared" si="313"/>
        <x:v>362785.46039999998</x:v>
      </x:c>
      <x:c r="P511" s="284">
        <x:f t="shared" si="313"/>
        <x:v>199459.7352</x:v>
      </x:c>
      <x:c r="Q511" s="284">
        <x:f t="shared" si="313"/>
        <x:v>339659.69400000002</x:v>
      </x:c>
      <x:c r="R511" s="284">
        <x:f t="shared" si="313"/>
        <x:v>276786.51660000003</x:v>
      </x:c>
      <x:c r="S511" s="284">
        <x:f t="shared" si="313"/>
        <x:v>280761.25770000002</x:v>
      </x:c>
      <x:c r="T511" s="284">
        <x:f t="shared" si="313"/>
        <x:v>0</x:v>
      </x:c>
      <x:c r="U511" s="284">
        <x:f t="shared" si="313"/>
        <x:v>0</x:v>
      </x:c>
      <x:c r="V511" s="282">
        <x:f t="shared" si="307"/>
        <x:v>2534078.1213000002</x:v>
      </x:c>
      <x:c r="W511" s="1046"/>
    </x:row>
    <x:row r="512" spans="1:23" s="48" customFormat="1" ht="13.5">
      <x:c r="A512" s="58"/>
      <x:c r="B512" s="70"/>
      <x:c r="C512" s="240" t="s">
        <x:v>332</x:v>
      </x:c>
      <x:c r="D512" s="61"/>
      <x:c r="E512" s="71"/>
      <x:c r="F512" s="72" t="s">
        <x:v>358</x:v>
      </x:c>
      <x:c r="G512" s="62" t="s">
        <x:v>359</x:v>
      </x:c>
      <x:c r="H512" s="73">
        <x:v>1</x:v>
      </x:c>
      <x:c r="I512" s="240" t="s">
        <x:v>1089</x:v>
      </x:c>
      <x:c r="J512" s="284">
        <x:f t="shared" ref="J512:U512" si="314">+$I$475*J355*J36</x:f>
        <x:v>43966.845000000001</x:v>
      </x:c>
      <x:c r="K512" s="284">
        <x:f t="shared" si="314"/>
        <x:v>377438.45400000003</x:v>
      </x:c>
      <x:c r="L512" s="284">
        <x:f t="shared" si="314"/>
        <x:v>662884.74</x:v>
      </x:c>
      <x:c r="M512" s="284">
        <x:f t="shared" si="314"/>
        <x:v>529631.37899999996</x:v>
      </x:c>
      <x:c r="N512" s="284">
        <x:f t="shared" si="314"/>
        <x:v>397730.84399999998</x:v>
      </x:c>
      <x:c r="O512" s="284">
        <x:f t="shared" si="314"/>
        <x:v>679118.652</x:v>
      </x:c>
      <x:c r="P512" s="284">
        <x:f t="shared" si="314"/>
        <x:v>373379.97600000002</x:v>
      </x:c>
      <x:c r="Q512" s="284">
        <x:f t="shared" si="314"/>
        <x:v>635828.22</x:v>
      </x:c>
      <x:c r="R512" s="284">
        <x:f t="shared" si="314"/>
        <x:v>518132.35800000001</x:v>
      </x:c>
      <x:c r="S512" s="284">
        <x:f t="shared" si="314"/>
        <x:v>525572.90099999995</x:v>
      </x:c>
      <x:c r="T512" s="284">
        <x:f t="shared" si="314"/>
        <x:v>0</x:v>
      </x:c>
      <x:c r="U512" s="284">
        <x:f t="shared" si="314"/>
        <x:v>0</x:v>
      </x:c>
      <x:c r="V512" s="282">
        <x:f t="shared" si="307"/>
        <x:v>4743684.368999999</x:v>
      </x:c>
      <x:c r="W512" s="1046"/>
    </x:row>
    <x:row r="513" spans="1:23" s="48" customFormat="1" ht="13.5">
      <x:c r="A513" s="58"/>
      <x:c r="B513" s="70"/>
      <x:c r="C513" s="240" t="s">
        <x:v>332</x:v>
      </x:c>
      <x:c r="D513" s="240"/>
      <x:c r="E513" s="244"/>
      <x:c r="F513" s="245" t="s">
        <x:v>360</x:v>
      </x:c>
      <x:c r="G513" s="241" t="s">
        <x:v>1042</x:v>
      </x:c>
      <x:c r="H513" s="246">
        <x:v>1</x:v>
      </x:c>
      <x:c r="I513" s="240" t="s">
        <x:v>1089</x:v>
      </x:c>
      <x:c r="J513" s="284">
        <x:f t="shared" ref="J513:U513" si="315">+$I$475*J356*J37</x:f>
        <x:v>45835.178999999996</x:v>
      </x:c>
      <x:c r="K513" s="284">
        <x:f t="shared" si="315"/>
        <x:v>393477.38279999996</x:v>
      </x:c>
      <x:c r="L513" s="284">
        <x:f t="shared" si="315"/>
        <x:v>691053.46799999988</x:v>
      </x:c>
      <x:c r="M513" s="284">
        <x:f t="shared" si="315"/>
        <x:v>552137.61779999989</x:v>
      </x:c>
      <x:c r="N513" s="284">
        <x:f t="shared" si="315"/>
        <x:v>414632.08079999994</x:v>
      </x:c>
      <x:c r="O513" s="284">
        <x:f t="shared" si="315"/>
        <x:v>707977.22639999993</x:v>
      </x:c>
      <x:c r="P513" s="284">
        <x:f t="shared" si="315"/>
        <x:v>389246.44319999998</x:v>
      </x:c>
      <x:c r="Q513" s="284">
        <x:f t="shared" si="315"/>
        <x:v>662847.20399999991</x:v>
      </x:c>
      <x:c r="R513" s="284">
        <x:f t="shared" si="315"/>
        <x:v>540149.95559999999</x:v>
      </x:c>
      <x:c r="S513" s="284">
        <x:f t="shared" si="315"/>
        <x:v>547906.67819999997</x:v>
      </x:c>
      <x:c r="T513" s="284">
        <x:f t="shared" si="315"/>
        <x:v>0</x:v>
      </x:c>
      <x:c r="U513" s="284">
        <x:f t="shared" si="315"/>
        <x:v>0</x:v>
      </x:c>
      <x:c r="V513" s="282">
        <x:f t="shared" si="307"/>
        <x:v>4945263.235799999</x:v>
      </x:c>
      <x:c r="W513" s="1046"/>
    </x:row>
    <x:row r="514" spans="1:23" s="48" customFormat="1" ht="13.5">
      <x:c r="A514" s="58"/>
      <x:c r="B514" s="70"/>
      <x:c r="C514" s="240" t="s">
        <x:v>332</x:v>
      </x:c>
      <x:c r="D514" s="240"/>
      <x:c r="E514" s="240"/>
      <x:c r="F514" s="240" t="s">
        <x:v>361</x:v>
      </x:c>
      <x:c r="G514" s="241" t="s">
        <x:v>1043</x:v>
      </x:c>
      <x:c r="H514" s="240">
        <x:v>1</x:v>
      </x:c>
      <x:c r="I514" s="240" t="s">
        <x:v>1089</x:v>
      </x:c>
      <x:c r="J514" s="284">
        <x:f t="shared" ref="J514:U514" si="316">+$I$475*J357*J38</x:f>
        <x:v>41888.671499999997</x:v>
      </x:c>
      <x:c r="K514" s="284">
        <x:f t="shared" si="316"/>
        <x:v>359598.13380000001</x:v>
      </x:c>
      <x:c r="L514" s="284">
        <x:f t="shared" si="316"/>
        <x:v>631552.27800000005</x:v>
      </x:c>
      <x:c r="M514" s="284">
        <x:f t="shared" si="316"/>
        <x:v>504597.38130000001</x:v>
      </x:c>
      <x:c r="N514" s="284">
        <x:f t="shared" si="316"/>
        <x:v>378931.36680000002</x:v>
      </x:c>
      <x:c r="O514" s="284">
        <x:f t="shared" si="316"/>
        <x:v>647018.86439999996</x:v>
      </x:c>
      <x:c r="P514" s="284">
        <x:f t="shared" si="316"/>
        <x:v>355731.48719999997</x:v>
      </x:c>
      <x:c r="Q514" s="284">
        <x:f t="shared" si="316"/>
        <x:v>605774.63399999996</x:v>
      </x:c>
      <x:c r="R514" s="284">
        <x:f t="shared" si="316"/>
        <x:v>493641.88260000001</x:v>
      </x:c>
      <x:c r="S514" s="284">
        <x:f t="shared" si="316"/>
        <x:v>500730.73470000003</x:v>
      </x:c>
      <x:c r="T514" s="284">
        <x:f t="shared" si="316"/>
        <x:v>0</x:v>
      </x:c>
      <x:c r="U514" s="284">
        <x:f t="shared" si="316"/>
        <x:v>0</x:v>
      </x:c>
      <x:c r="V514" s="282">
        <x:f t="shared" si="307"/>
        <x:v>4519465.4342999998</x:v>
      </x:c>
      <x:c r="W514" s="1046"/>
    </x:row>
    <x:row r="515" spans="1:23" s="48" customFormat="1" ht="13.5">
      <x:c r="A515" s="58"/>
      <x:c r="B515" s="70"/>
      <x:c r="C515" s="240" t="s">
        <x:v>332</x:v>
      </x:c>
      <x:c r="D515" s="240"/>
      <x:c r="E515" s="240"/>
      <x:c r="F515" s="240" t="s">
        <x:v>362</x:v>
      </x:c>
      <x:c r="G515" s="241" t="s">
        <x:v>1044</x:v>
      </x:c>
      <x:c r="H515" s="235">
        <x:v>1</x:v>
      </x:c>
      <x:c r="I515" s="235" t="s">
        <x:v>1089</x:v>
      </x:c>
      <x:c r="J515" s="284">
        <x:f t="shared" ref="J515:U515" si="317">+$I$475*J358*J39</x:f>
        <x:v>44430.281999999999</x:v>
      </x:c>
      <x:c r="K515" s="284">
        <x:f t="shared" si="317"/>
        <x:v>381416.88239999994</x:v>
      </x:c>
      <x:c r="L515" s="284">
        <x:f t="shared" si="317"/>
        <x:v>669871.9439999999</x:v>
      </x:c>
      <x:c r="M515" s="284">
        <x:f t="shared" si="317"/>
        <x:v>535214.01240000001</x:v>
      </x:c>
      <x:c r="N515" s="284">
        <x:f t="shared" si="317"/>
        <x:v>401923.16639999999</x:v>
      </x:c>
      <x:c r="O515" s="284">
        <x:f t="shared" si="317"/>
        <x:v>686276.97119999991</x:v>
      </x:c>
      <x:c r="P515" s="284">
        <x:f t="shared" si="317"/>
        <x:v>377315.62559999997</x:v>
      </x:c>
      <x:c r="Q515" s="284">
        <x:f t="shared" si="317"/>
        <x:v>642530.23199999996</x:v>
      </x:c>
      <x:c r="R515" s="284">
        <x:f t="shared" si="317"/>
        <x:v>523593.78479999996</x:v>
      </x:c>
      <x:c r="S515" s="284">
        <x:f t="shared" si="317"/>
        <x:v>531112.75559999992</x:v>
      </x:c>
      <x:c r="T515" s="284">
        <x:f t="shared" si="317"/>
        <x:v>0</x:v>
      </x:c>
      <x:c r="U515" s="284">
        <x:f t="shared" si="317"/>
        <x:v>0</x:v>
      </x:c>
      <x:c r="V515" s="282">
        <x:f t="shared" si="307"/>
        <x:v>4793685.6563999988</x:v>
      </x:c>
      <x:c r="W515" s="1046"/>
    </x:row>
    <x:row r="516" spans="1:23" s="48" customFormat="1" ht="13.5">
      <x:c r="A516" s="58"/>
      <x:c r="B516" s="75"/>
      <x:c r="C516" s="240" t="s">
        <x:v>332</x:v>
      </x:c>
      <x:c r="D516" s="240"/>
      <x:c r="E516" s="240"/>
      <x:c r="F516" s="240" t="s">
        <x:v>351</x:v>
      </x:c>
      <x:c r="G516" s="241" t="s">
        <x:v>352</x:v>
      </x:c>
      <x:c r="H516" s="240">
        <x:v>1</x:v>
      </x:c>
      <x:c r="I516" s="240" t="s">
        <x:v>1089</x:v>
      </x:c>
      <x:c r="J516" s="284">
        <x:f t="shared" ref="J516:U516" si="318">+$I$475*J359*J40</x:f>
        <x:v>29416.978500000001</x:v>
      </x:c>
      <x:c r="K516" s="284">
        <x:f t="shared" si="318"/>
        <x:v>252533.44620000003</x:v>
      </x:c>
      <x:c r="L516" s="284">
        <x:f t="shared" si="318"/>
        <x:v>443517.52200000006</x:v>
      </x:c>
      <x:c r="M516" s="284">
        <x:f t="shared" si="318"/>
        <x:v>354361.44870000001</x:v>
      </x:c>
      <x:c r="N516" s="284">
        <x:f t="shared" si="318"/>
        <x:v>266110.51320000004</x:v>
      </x:c>
      <x:c r="O516" s="284">
        <x:f t="shared" si="318"/>
        <x:v>454379.17560000002</x:v>
      </x:c>
      <x:c r="P516" s="284">
        <x:f t="shared" si="318"/>
        <x:v>249818.03280000002</x:v>
      </x:c>
      <x:c r="Q516" s="284">
        <x:f t="shared" si="318"/>
        <x:v>425414.76600000006</x:v>
      </x:c>
      <x:c r="R516" s="284">
        <x:f t="shared" si="318"/>
        <x:v>346667.77740000002</x:v>
      </x:c>
      <x:c r="S516" s="284">
        <x:f t="shared" si="318"/>
        <x:v>351646.03530000005</x:v>
      </x:c>
      <x:c r="T516" s="284">
        <x:f t="shared" si="318"/>
        <x:v>0</x:v>
      </x:c>
      <x:c r="U516" s="284">
        <x:f t="shared" si="318"/>
        <x:v>0</x:v>
      </x:c>
      <x:c r="V516" s="282">
        <x:f t="shared" si="307"/>
        <x:v>3173865.6957000005</x:v>
      </x:c>
      <x:c r="W516" s="1046"/>
    </x:row>
    <x:row r="517" spans="1:23" s="48" customFormat="1" ht="13.5">
      <x:c r="A517" s="58"/>
      <x:c r="B517" s="289" t="s">
        <x:v>435</x:v>
      </x:c>
      <x:c r="C517" s="127"/>
      <x:c r="D517" s="127"/>
      <x:c r="E517" s="127"/>
      <x:c r="F517" s="127"/>
      <x:c r="G517" s="127"/>
      <x:c r="H517" s="290"/>
      <x:c r="I517" s="290"/>
      <x:c r="J517" s="300">
        <x:f>SUM(J504:J516)</x:f>
        <x:v>1016554.3635000001</x:v>
      </x:c>
      <x:c r="K517" s="301">
        <x:f t="shared" ref="K517:U517" si="319">SUM(K504:K516)</x:f>
        <x:v>8726728.2281999998</x:v>
      </x:c>
      <x:c r="L517" s="301">
        <x:f t="shared" si="319"/>
        <x:v>15326511.942000002</x:v>
      </x:c>
      <x:c r="M517" s="301">
        <x:f t="shared" si="319"/>
        <x:v>12245570.255699998</x:v>
      </x:c>
      <x:c r="N517" s="301">
        <x:f t="shared" si="319"/>
        <x:v>9195907.1651999988</x:v>
      </x:c>
      <x:c r="O517" s="301">
        <x:f t="shared" si="319"/>
        <x:v>15701855.091599999</x:v>
      </x:c>
      <x:c r="P517" s="301">
        <x:f t="shared" si="319"/>
        <x:v>8632892.4408</x:v>
      </x:c>
      <x:c r="Q517" s="301">
        <x:f t="shared" si="319"/>
        <x:v>14700940.026000001</x:v>
      </x:c>
      <x:c r="R517" s="301">
        <x:f t="shared" si="319"/>
        <x:v>11979702.191400003</x:v>
      </x:c>
      <x:c r="S517" s="301">
        <x:f t="shared" si="319"/>
        <x:v>12151734.468300002</x:v>
      </x:c>
      <x:c r="T517" s="301">
        <x:f t="shared" si="319"/>
        <x:v>0</x:v>
      </x:c>
      <x:c r="U517" s="301">
        <x:f t="shared" si="319"/>
        <x:v>0</x:v>
      </x:c>
      <x:c r="V517" s="301">
        <x:f>SUM(J517:U517)</x:f>
        <x:v>109678396.17270002</x:v>
      </x:c>
      <x:c r="W517" s="1076"/>
    </x:row>
    <x:row r="518" spans="1:23" s="48" customFormat="1" ht="13.5">
      <x:c r="A518" s="76"/>
      <x:c r="B518" s="70" t="s">
        <x:v>367</x:v>
      </x:c>
      <x:c r="C518" s="67" t="s">
        <x:v>332</x:v>
      </x:c>
      <x:c r="D518" s="67"/>
      <x:c r="E518" s="67"/>
      <x:c r="F518" s="67" t="s">
        <x:v>368</x:v>
      </x:c>
      <x:c r="G518" s="68" t="s">
        <x:v>369</x:v>
      </x:c>
      <x:c r="H518" s="67">
        <x:v>2</x:v>
      </x:c>
      <x:c r="I518" s="67" t="s">
        <x:v>1089</x:v>
      </x:c>
      <x:c r="J518" s="284">
        <x:f t="shared" ref="J518:U518" si="320">+$I$475*J360*J41</x:f>
        <x:v>2857250.7647999995</x:v>
      </x:c>
      <x:c r="K518" s="284">
        <x:f t="shared" si="320"/>
        <x:v>4285876.1471999995</x:v>
      </x:c>
      <x:c r="L518" s="284">
        <x:f t="shared" si="320"/>
        <x:v>0</x:v>
      </x:c>
      <x:c r="M518" s="284">
        <x:f t="shared" si="320"/>
        <x:v>0</x:v>
      </x:c>
      <x:c r="N518" s="284">
        <x:f t="shared" si="320"/>
        <x:v>0</x:v>
      </x:c>
      <x:c r="O518" s="284">
        <x:f t="shared" si="320"/>
        <x:v>0</x:v>
      </x:c>
      <x:c r="P518" s="284">
        <x:f t="shared" si="320"/>
        <x:v>0</x:v>
      </x:c>
      <x:c r="Q518" s="284">
        <x:f t="shared" si="320"/>
        <x:v>0</x:v>
      </x:c>
      <x:c r="R518" s="284">
        <x:f t="shared" si="320"/>
        <x:v>0</x:v>
      </x:c>
      <x:c r="S518" s="284">
        <x:f t="shared" si="320"/>
        <x:v>0</x:v>
      </x:c>
      <x:c r="T518" s="284">
        <x:f t="shared" si="320"/>
        <x:v>0</x:v>
      </x:c>
      <x:c r="U518" s="284">
        <x:f t="shared" si="320"/>
        <x:v>0</x:v>
      </x:c>
      <x:c r="V518" s="282">
        <x:f t="shared" si="280"/>
        <x:v>7143126.9119999986</x:v>
      </x:c>
      <x:c r="W518" s="1052"/>
    </x:row>
    <x:row r="519" spans="1:23" s="48" customFormat="1" ht="13.5">
      <x:c r="A519" s="76"/>
      <x:c r="B519" s="70"/>
      <x:c r="C519" s="1165" t="s">
        <x:v>332</x:v>
      </x:c>
      <x:c r="D519" s="1135"/>
      <x:c r="E519" s="1135"/>
      <x:c r="F519" s="1135" t="str">
        <x:f t="shared" ref="F519:I520" si="321">F518</x:f>
        <x:v>BUS BAR ASY - ARRAY 4 POS TO ARRAY 5 NEG</x:v>
      </x:c>
      <x:c r="G519" s="1136" t="s">
        <x:v>369</x:v>
      </x:c>
      <x:c r="H519" s="1135">
        <x:v>1</x:v>
      </x:c>
      <x:c r="I519" s="1135" t="str">
        <x:f t="shared" si="321"/>
        <x:v>터키 현지 외주</x:v>
      </x:c>
      <x:c r="J519" s="284">
        <x:f t="shared" ref="J519:U519" si="322">+$I$475*J361*J42</x:f>
        <x:v>0</x:v>
      </x:c>
      <x:c r="K519" s="284">
        <x:f t="shared" si="322"/>
        <x:v>0</x:v>
      </x:c>
      <x:c r="L519" s="284">
        <x:f t="shared" si="322"/>
        <x:v>1666729.6127999998</x:v>
      </x:c>
      <x:c r="M519" s="284">
        <x:f t="shared" si="322"/>
        <x:v>1428625.3823999998</x:v>
      </x:c>
      <x:c r="N519" s="284">
        <x:f t="shared" si="322"/>
        <x:v>1904833.8431999998</x:v>
      </x:c>
      <x:c r="O519" s="284">
        <x:f t="shared" si="322"/>
        <x:v>2142938.0735999998</x:v>
      </x:c>
      <x:c r="P519" s="284">
        <x:f t="shared" si="322"/>
        <x:v>1428625.3823999998</x:v>
      </x:c>
      <x:c r="Q519" s="284">
        <x:f t="shared" si="322"/>
        <x:v>1904833.8431999998</x:v>
      </x:c>
      <x:c r="R519" s="284">
        <x:f t="shared" si="322"/>
        <x:v>1904833.8431999998</x:v>
      </x:c>
      <x:c r="S519" s="284">
        <x:f t="shared" si="322"/>
        <x:v>1265755.4748</x:v>
      </x:c>
      <x:c r="T519" s="284">
        <x:f t="shared" si="322"/>
        <x:v>1758912.3269999998</x:v>
      </x:c>
      <x:c r="U519" s="284">
        <x:f t="shared" si="322"/>
        <x:v>1734523.1783999999</x:v>
      </x:c>
      <x:c r="V519" s="282">
        <x:f t="shared" si="280"/>
        <x:v>17140610.960999999</x:v>
      </x:c>
      <x:c r="W519" s="1052"/>
    </x:row>
    <x:row r="520" spans="1:23" s="48" customFormat="1" ht="13.5">
      <x:c r="A520" s="76"/>
      <x:c r="B520" s="70"/>
      <x:c r="C520" s="1165" t="s">
        <x:v>332</x:v>
      </x:c>
      <x:c r="D520" s="1135"/>
      <x:c r="E520" s="1135"/>
      <x:c r="F520" s="1135" t="str">
        <x:f t="shared" si="321"/>
        <x:v>BUS BAR ASY - ARRAY 4 POS TO ARRAY 5 NEG</x:v>
      </x:c>
      <x:c r="G520" s="1136" t="s">
        <x:v>1517</x:v>
      </x:c>
      <x:c r="H520" s="1135">
        <x:v>1</x:v>
      </x:c>
      <x:c r="I520" s="1135" t="str">
        <x:f t="shared" si="321"/>
        <x:v>터키 현지 외주</x:v>
      </x:c>
      <x:c r="J520" s="284">
        <x:f t="shared" ref="J520:U520" si="323">+$I$475*J362*J43</x:f>
        <x:v>0</x:v>
      </x:c>
      <x:c r="K520" s="284">
        <x:f t="shared" si="323"/>
        <x:v>0</x:v>
      </x:c>
      <x:c r="L520" s="284">
        <x:f t="shared" si="323"/>
        <x:v>2233849.8545383359</x:v>
      </x:c>
      <x:c r="M520" s="284">
        <x:f t="shared" si="323"/>
        <x:v>1914728.4467471451</x:v>
      </x:c>
      <x:c r="N520" s="284">
        <x:f t="shared" si="323"/>
        <x:v>2552971.2623295267</x:v>
      </x:c>
      <x:c r="O520" s="284">
        <x:f t="shared" si="323"/>
        <x:v>2872092.6701207175</x:v>
      </x:c>
      <x:c r="P520" s="284">
        <x:f t="shared" si="323"/>
        <x:v>1914728.4467471451</x:v>
      </x:c>
      <x:c r="Q520" s="284">
        <x:f t="shared" si="323"/>
        <x:v>2552971.2623295267</x:v>
      </x:c>
      <x:c r="R520" s="284">
        <x:f t="shared" si="323"/>
        <x:v>2552971.2623295267</x:v>
      </x:c>
      <x:c r="S520" s="284">
        <x:f t="shared" si="323"/>
        <x:v>1696440.5393344208</x:v>
      </x:c>
      <x:c r="T520" s="284">
        <x:f t="shared" si="323"/>
        <x:v>2357398.5940130507</x:v>
      </x:c>
      <x:c r="U520" s="284">
        <x:f t="shared" si="323"/>
        <x:v>2324710.8109233277</x:v>
      </x:c>
      <x:c r="V520" s="282">
        <x:f t="shared" si="280"/>
        <x:v>22972863.149412721</x:v>
      </x:c>
      <x:c r="W520" s="1052"/>
    </x:row>
    <x:row r="521" spans="1:23" s="48" customFormat="1" ht="13.5">
      <x:c r="A521" s="76"/>
      <x:c r="B521" s="70"/>
      <x:c r="C521" s="235" t="s">
        <x:v>332</x:v>
      </x:c>
      <x:c r="D521" s="235"/>
      <x:c r="E521" s="235"/>
      <x:c r="F521" s="235" t="s">
        <x:v>370</x:v>
      </x:c>
      <x:c r="G521" s="236" t="s">
        <x:v>371</x:v>
      </x:c>
      <x:c r="H521" s="235">
        <x:v>2</x:v>
      </x:c>
      <x:c r="I521" s="235" t="s">
        <x:v>1089</x:v>
      </x:c>
      <x:c r="J521" s="284">
        <x:f t="shared" ref="J521:U521" si="324">+$I$475*J363*J44</x:f>
        <x:v>3111729.1776000001</x:v>
      </x:c>
      <x:c r="K521" s="284">
        <x:f t="shared" si="324"/>
        <x:v>4667593.7664000001</x:v>
      </x:c>
      <x:c r="L521" s="284">
        <x:f t="shared" si="324"/>
        <x:v>0</x:v>
      </x:c>
      <x:c r="M521" s="284">
        <x:f t="shared" si="324"/>
        <x:v>0</x:v>
      </x:c>
      <x:c r="N521" s="284">
        <x:f t="shared" si="324"/>
        <x:v>0</x:v>
      </x:c>
      <x:c r="O521" s="284">
        <x:f t="shared" si="324"/>
        <x:v>0</x:v>
      </x:c>
      <x:c r="P521" s="284">
        <x:f t="shared" si="324"/>
        <x:v>0</x:v>
      </x:c>
      <x:c r="Q521" s="284">
        <x:f t="shared" si="324"/>
        <x:v>0</x:v>
      </x:c>
      <x:c r="R521" s="284">
        <x:f t="shared" si="324"/>
        <x:v>0</x:v>
      </x:c>
      <x:c r="S521" s="284">
        <x:f t="shared" si="324"/>
        <x:v>0</x:v>
      </x:c>
      <x:c r="T521" s="284">
        <x:f t="shared" si="324"/>
        <x:v>0</x:v>
      </x:c>
      <x:c r="U521" s="284">
        <x:f t="shared" si="324"/>
        <x:v>0</x:v>
      </x:c>
      <x:c r="V521" s="282">
        <x:f t="shared" si="280"/>
        <x:v>7779322.9440000001</x:v>
      </x:c>
      <x:c r="W521" s="1046"/>
    </x:row>
    <x:row r="522" spans="1:23" s="48" customFormat="1" ht="13.5">
      <x:c r="A522" s="76"/>
      <x:c r="B522" s="70"/>
      <x:c r="C522" s="1165" t="s">
        <x:v>332</x:v>
      </x:c>
      <x:c r="D522" s="1143"/>
      <x:c r="E522" s="1143"/>
      <x:c r="F522" s="1143" t="str">
        <x:f t="shared" ref="F522:I522" si="325">F521</x:f>
        <x:v>BUS BAR ASY – COMMON BUSBAR ARRAY 3-2, 2-1</x:v>
      </x:c>
      <x:c r="G522" s="1144" t="str">
        <x:f t="shared" si="325"/>
        <x:v>S2X8-14A033-EC</x:v>
      </x:c>
      <x:c r="H522" s="1143">
        <x:f t="shared" si="325"/>
        <x:v>2</x:v>
      </x:c>
      <x:c r="I522" s="1143" t="str">
        <x:f t="shared" si="325"/>
        <x:v>터키 현지 외주</x:v>
      </x:c>
      <x:c r="J522" s="284">
        <x:f t="shared" ref="J522:U522" si="326">+$I$475*J364*J45</x:f>
        <x:v>0</x:v>
      </x:c>
      <x:c r="K522" s="284">
        <x:f t="shared" si="326"/>
        <x:v>0</x:v>
      </x:c>
      <x:c r="L522" s="284">
        <x:f t="shared" si="326"/>
        <x:v>5009875.6261432897</x:v>
      </x:c>
      <x:c r="M522" s="284">
        <x:f t="shared" si="326"/>
        <x:v>4294179.10812282</x:v>
      </x:c>
      <x:c r="N522" s="284">
        <x:f t="shared" si="326"/>
        <x:v>5725572.1441637594</x:v>
      </x:c>
      <x:c r="O522" s="284">
        <x:f t="shared" si="326"/>
        <x:v>6441268.6621842291</x:v>
      </x:c>
      <x:c r="P522" s="284">
        <x:f t="shared" si="326"/>
        <x:v>4294179.10812282</x:v>
      </x:c>
      <x:c r="Q522" s="284">
        <x:f t="shared" si="326"/>
        <x:v>5725572.1441637594</x:v>
      </x:c>
      <x:c r="R522" s="284">
        <x:f t="shared" si="326"/>
        <x:v>5725572.1441637594</x:v>
      </x:c>
      <x:c r="S522" s="284">
        <x:f t="shared" si="326"/>
        <x:v>3804622.8093379843</x:v>
      </x:c>
      <x:c r="T522" s="284">
        <x:f t="shared" si="326"/>
        <x:v>5286959.521140798</x:v>
      </x:c>
      <x:c r="U522" s="284">
        <x:f t="shared" si="326"/>
        <x:v>5213650.3291907841</x:v>
      </x:c>
      <x:c r="V522" s="282">
        <x:f t="shared" si="280"/>
        <x:v>51521451.596733995</x:v>
      </x:c>
      <x:c r="W522" s="1046"/>
    </x:row>
    <x:row r="523" spans="1:23" s="48" customFormat="1" ht="13.5">
      <x:c r="A523" s="76"/>
      <x:c r="B523" s="70"/>
      <x:c r="C523" s="1143" t="s">
        <x:v>332</x:v>
      </x:c>
      <x:c r="D523" s="1143"/>
      <x:c r="E523" s="1153"/>
      <x:c r="F523" s="1154" t="s">
        <x:v>372</x:v>
      </x:c>
      <x:c r="G523" s="1144" t="s">
        <x:v>373</x:v>
      </x:c>
      <x:c r="H523" s="1155">
        <x:v>1</x:v>
      </x:c>
      <x:c r="I523" s="1143" t="s">
        <x:v>1089</x:v>
      </x:c>
      <x:c r="J523" s="284">
        <x:f t="shared" ref="J523:U523" si="327">+$I$475*J365*J46</x:f>
        <x:v>1416498.9696</x:v>
      </x:c>
      <x:c r="K523" s="284">
        <x:f t="shared" si="327"/>
        <x:v>2124748.4544000002</x:v>
      </x:c>
      <x:c r="L523" s="284">
        <x:f t="shared" si="327"/>
        <x:v>0</x:v>
      </x:c>
      <x:c r="M523" s="284">
        <x:f t="shared" si="327"/>
        <x:v>0</x:v>
      </x:c>
      <x:c r="N523" s="284">
        <x:f t="shared" si="327"/>
        <x:v>0</x:v>
      </x:c>
      <x:c r="O523" s="284">
        <x:f t="shared" si="327"/>
        <x:v>0</x:v>
      </x:c>
      <x:c r="P523" s="284">
        <x:f t="shared" si="327"/>
        <x:v>0</x:v>
      </x:c>
      <x:c r="Q523" s="284">
        <x:f t="shared" si="327"/>
        <x:v>0</x:v>
      </x:c>
      <x:c r="R523" s="284">
        <x:f t="shared" si="327"/>
        <x:v>0</x:v>
      </x:c>
      <x:c r="S523" s="284">
        <x:f t="shared" si="327"/>
        <x:v>0</x:v>
      </x:c>
      <x:c r="T523" s="284">
        <x:f t="shared" si="327"/>
        <x:v>0</x:v>
      </x:c>
      <x:c r="U523" s="284">
        <x:f t="shared" si="327"/>
        <x:v>0</x:v>
      </x:c>
      <x:c r="V523" s="282">
        <x:f t="shared" si="280"/>
        <x:v>3541247.4240000001</x:v>
      </x:c>
      <x:c r="W523" s="1046"/>
    </x:row>
    <x:row r="524" spans="1:23" s="48" customFormat="1" ht="13.5">
      <x:c r="A524" s="76"/>
      <x:c r="B524" s="70"/>
      <x:c r="C524" s="1165" t="s">
        <x:v>332</x:v>
      </x:c>
      <x:c r="D524" s="61"/>
      <x:c r="E524" s="71"/>
      <x:c r="F524" s="72" t="str">
        <x:f t="shared" ref="F524:I524" si="328">F523</x:f>
        <x:v>BUS BAR ASY – POS BEC TO ARRAY 6 POS </x:v>
      </x:c>
      <x:c r="G524" s="62" t="str">
        <x:f t="shared" si="328"/>
        <x:v>S2X8-14A033-AC</x:v>
      </x:c>
      <x:c r="H524" s="73">
        <x:f t="shared" si="328"/>
        <x:v>1</x:v>
      </x:c>
      <x:c r="I524" s="61" t="str">
        <x:f t="shared" si="328"/>
        <x:v>터키 현지 외주</x:v>
      </x:c>
      <x:c r="J524" s="284">
        <x:f t="shared" ref="J524:U524" si="329">+$I$475*J366*J47</x:f>
        <x:v>0</x:v>
      </x:c>
      <x:c r="K524" s="284">
        <x:f t="shared" si="329"/>
        <x:v>0</x:v>
      </x:c>
      <x:c r="L524" s="284">
        <x:f t="shared" si="329"/>
        <x:v>2330171.4651428568</x:v>
      </x:c>
      <x:c r="M524" s="284">
        <x:f t="shared" si="329"/>
        <x:v>1997289.8272653059</x:v>
      </x:c>
      <x:c r="N524" s="284">
        <x:f t="shared" si="329"/>
        <x:v>2663053.1030204077</x:v>
      </x:c>
      <x:c r="O524" s="284">
        <x:f t="shared" si="329"/>
        <x:v>2995934.7408979591</x:v>
      </x:c>
      <x:c r="P524" s="284">
        <x:f t="shared" si="329"/>
        <x:v>1997289.8272653059</x:v>
      </x:c>
      <x:c r="Q524" s="284">
        <x:f t="shared" si="329"/>
        <x:v>2663053.1030204077</x:v>
      </x:c>
      <x:c r="R524" s="284">
        <x:f t="shared" si="329"/>
        <x:v>2663053.1030204077</x:v>
      </x:c>
      <x:c r="S524" s="284">
        <x:f t="shared" si="329"/>
        <x:v>1769589.5402448978</x:v>
      </x:c>
      <x:c r="T524" s="284">
        <x:f t="shared" si="329"/>
        <x:v>2459047.5159183671</x:v>
      </x:c>
      <x:c r="U524" s="284">
        <x:f t="shared" si="329"/>
        <x:v>2424950.2648163261</x:v>
      </x:c>
      <x:c r="V524" s="282">
        <x:f t="shared" si="280"/>
        <x:v>23963432.490612242</x:v>
      </x:c>
      <x:c r="W524" s="1149"/>
    </x:row>
    <x:row r="525" spans="1:23">
      <x:c r="A525" s="76"/>
      <x:c r="B525" s="70"/>
      <x:c r="C525" s="240" t="s">
        <x:v>332</x:v>
      </x:c>
      <x:c r="D525" s="240"/>
      <x:c r="E525" s="244"/>
      <x:c r="F525" s="245" t="s">
        <x:v>374</x:v>
      </x:c>
      <x:c r="G525" s="241" t="s">
        <x:v>375</x:v>
      </x:c>
      <x:c r="H525" s="246">
        <x:v>1</x:v>
      </x:c>
      <x:c r="I525" s="240" t="s">
        <x:v>1089</x:v>
      </x:c>
      <x:c r="J525" s="284">
        <x:f t="shared" ref="J525:U525" si="330">+$I$475*J367*J48</x:f>
        <x:v>945190.42559999996</x:v>
      </x:c>
      <x:c r="K525" s="284">
        <x:f t="shared" si="330"/>
        <x:v>1417785.6383999998</x:v>
      </x:c>
      <x:c r="L525" s="284">
        <x:f t="shared" si="330"/>
        <x:v>1102722.1631999998</x:v>
      </x:c>
      <x:c r="M525" s="284">
        <x:f t="shared" si="330"/>
        <x:v>945190.42559999996</x:v>
      </x:c>
      <x:c r="N525" s="284">
        <x:f t="shared" si="330"/>
        <x:v>1260253.9007999999</x:v>
      </x:c>
      <x:c r="O525" s="284">
        <x:f t="shared" si="330"/>
        <x:v>1417785.6383999998</x:v>
      </x:c>
      <x:c r="P525" s="284">
        <x:f t="shared" si="330"/>
        <x:v>945190.42559999996</x:v>
      </x:c>
      <x:c r="Q525" s="284">
        <x:f t="shared" si="330"/>
        <x:v>1260253.9007999999</x:v>
      </x:c>
      <x:c r="R525" s="284">
        <x:f t="shared" si="330"/>
        <x:v>1260253.9007999999</x:v>
      </x:c>
      <x:c r="S525" s="284">
        <x:f t="shared" si="330"/>
        <x:v>837434.34119999991</x:v>
      </x:c>
      <x:c r="T525" s="284">
        <x:f t="shared" si="330"/>
        <x:v>1163711.013</x:v>
      </x:c>
      <x:c r="U525" s="284">
        <x:f t="shared" si="330"/>
        <x:v>1147574.9495999999</x:v>
      </x:c>
      <x:c r="V525" s="282">
        <x:f t="shared" si="280"/>
        <x:v>13703346.722999999</x:v>
      </x:c>
      <x:c r="W525" s="1053"/>
    </x:row>
    <x:row r="526" spans="1:23">
      <x:c r="A526" s="76"/>
      <x:c r="B526" s="70"/>
      <x:c r="C526" s="240" t="s">
        <x:v>332</x:v>
      </x:c>
      <x:c r="D526" s="235"/>
      <x:c r="E526" s="244"/>
      <x:c r="F526" s="245" t="s">
        <x:v>376</x:v>
      </x:c>
      <x:c r="G526" s="241" t="s">
        <x:v>377</x:v>
      </x:c>
      <x:c r="H526" s="246">
        <x:v>1</x:v>
      </x:c>
      <x:c r="I526" s="240" t="s">
        <x:v>1089</x:v>
      </x:c>
      <x:c r="J526" s="284">
        <x:f t="shared" ref="J526:U526" si="331">+$I$475*J368*J49</x:f>
        <x:v>1580522.8032</x:v>
      </x:c>
      <x:c r="K526" s="284">
        <x:f t="shared" si="331"/>
        <x:v>2370784.2047999999</x:v>
      </x:c>
      <x:c r="L526" s="284">
        <x:f t="shared" si="331"/>
        <x:v>1843943.2704</x:v>
      </x:c>
      <x:c r="M526" s="284">
        <x:f t="shared" si="331"/>
        <x:v>1580522.8032</x:v>
      </x:c>
      <x:c r="N526" s="284">
        <x:f t="shared" si="331"/>
        <x:v>2107363.7376000001</x:v>
      </x:c>
      <x:c r="O526" s="284">
        <x:f t="shared" si="331"/>
        <x:v>2370784.2047999999</x:v>
      </x:c>
      <x:c r="P526" s="284">
        <x:f t="shared" si="331"/>
        <x:v>1580522.8032</x:v>
      </x:c>
      <x:c r="Q526" s="284">
        <x:f t="shared" si="331"/>
        <x:v>2107363.7376000001</x:v>
      </x:c>
      <x:c r="R526" s="284">
        <x:f t="shared" si="331"/>
        <x:v>2107363.7376000001</x:v>
      </x:c>
      <x:c r="S526" s="284">
        <x:f t="shared" si="331"/>
        <x:v>1400335.8864</x:v>
      </x:c>
      <x:c r="T526" s="284">
        <x:f t="shared" si="331"/>
        <x:v>1945927.236</x:v>
      </x:c>
      <x:c r="U526" s="284">
        <x:f t="shared" si="331"/>
        <x:v>1918944.9312</x:v>
      </x:c>
      <x:c r="V526" s="282">
        <x:f t="shared" si="280"/>
        <x:v>22914379.356000002</x:v>
      </x:c>
      <x:c r="W526" s="1053"/>
    </x:row>
    <x:row r="527" spans="1:23">
      <x:c r="A527" s="76"/>
      <x:c r="B527" s="70"/>
      <x:c r="C527" s="240" t="s">
        <x:v>332</x:v>
      </x:c>
      <x:c r="D527" s="240"/>
      <x:c r="E527" s="240"/>
      <x:c r="F527" s="240" t="s">
        <x:v>378</x:v>
      </x:c>
      <x:c r="G527" s="241" t="s">
        <x:v>379</x:v>
      </x:c>
      <x:c r="H527" s="246">
        <x:v>1</x:v>
      </x:c>
      <x:c r="I527" s="240" t="s">
        <x:v>1089</x:v>
      </x:c>
      <x:c r="J527" s="284">
        <x:f t="shared" ref="J527:U527" si="332">+$I$475*J369*J50</x:f>
        <x:v>1059580.5695999998</x:v>
      </x:c>
      <x:c r="K527" s="284">
        <x:f t="shared" si="332"/>
        <x:v>1589370.8543999998</x:v>
      </x:c>
      <x:c r="L527" s="284">
        <x:f t="shared" si="332"/>
        <x:v>0</x:v>
      </x:c>
      <x:c r="M527" s="284">
        <x:f t="shared" si="332"/>
        <x:v>0</x:v>
      </x:c>
      <x:c r="N527" s="284">
        <x:f t="shared" si="332"/>
        <x:v>0</x:v>
      </x:c>
      <x:c r="O527" s="284">
        <x:f t="shared" si="332"/>
        <x:v>0</x:v>
      </x:c>
      <x:c r="P527" s="284">
        <x:f t="shared" si="332"/>
        <x:v>0</x:v>
      </x:c>
      <x:c r="Q527" s="284">
        <x:f t="shared" si="332"/>
        <x:v>0</x:v>
      </x:c>
      <x:c r="R527" s="284">
        <x:f t="shared" si="332"/>
        <x:v>0</x:v>
      </x:c>
      <x:c r="S527" s="284">
        <x:f t="shared" si="332"/>
        <x:v>0</x:v>
      </x:c>
      <x:c r="T527" s="284">
        <x:f t="shared" si="332"/>
        <x:v>0</x:v>
      </x:c>
      <x:c r="U527" s="284">
        <x:f t="shared" si="332"/>
        <x:v>0</x:v>
      </x:c>
      <x:c r="V527" s="282">
        <x:f t="shared" si="280"/>
        <x:v>2648951.4239999996</x:v>
      </x:c>
      <x:c r="W527" s="1054"/>
    </x:row>
    <x:row r="528" spans="1:23">
      <x:c r="A528" s="76"/>
      <x:c r="B528" s="70"/>
      <x:c r="C528" s="1165" t="s">
        <x:v>332</x:v>
      </x:c>
      <x:c r="D528" s="1142"/>
      <x:c r="E528" s="1142"/>
      <x:c r="F528" s="1142" t="str">
        <x:f t="shared" ref="F528:I528" si="333">F527</x:f>
        <x:v>BUS BAR ASY – ARRAY 1 NEG TO NEG BEC</x:v>
      </x:c>
      <x:c r="G528" s="1150" t="str">
        <x:f t="shared" si="333"/>
        <x:v>S2X8-14A033-GC</x:v>
      </x:c>
      <x:c r="H528" s="1151">
        <x:f t="shared" si="333"/>
        <x:v>1</x:v>
      </x:c>
      <x:c r="I528" s="1142" t="str">
        <x:f t="shared" si="333"/>
        <x:v>터키 현지 외주</x:v>
      </x:c>
      <x:c r="J528" s="284">
        <x:f t="shared" ref="J528:U528" si="334">+$I$475*J370*J51</x:f>
        <x:v>0</x:v>
      </x:c>
      <x:c r="K528" s="284">
        <x:f t="shared" si="334"/>
        <x:v>0</x:v>
      </x:c>
      <x:c r="L528" s="284">
        <x:f t="shared" si="334"/>
        <x:v>1853509.4623255816</x:v>
      </x:c>
      <x:c r="M528" s="284">
        <x:f t="shared" si="334"/>
        <x:v>1588722.3962790698</x:v>
      </x:c>
      <x:c r="N528" s="284">
        <x:f t="shared" si="334"/>
        <x:v>2118296.5283720931</x:v>
      </x:c>
      <x:c r="O528" s="284">
        <x:f t="shared" si="334"/>
        <x:v>2383083.5944186049</x:v>
      </x:c>
      <x:c r="P528" s="284">
        <x:f t="shared" si="334"/>
        <x:v>1588722.3962790698</x:v>
      </x:c>
      <x:c r="Q528" s="284">
        <x:f t="shared" si="334"/>
        <x:v>2118296.5283720931</x:v>
      </x:c>
      <x:c r="R528" s="284">
        <x:f t="shared" si="334"/>
        <x:v>2118296.5283720931</x:v>
      </x:c>
      <x:c r="S528" s="284">
        <x:f t="shared" si="334"/>
        <x:v>1407600.6879069768</x:v>
      </x:c>
      <x:c r="T528" s="284">
        <x:f t="shared" si="334"/>
        <x:v>1956022.5104651165</x:v>
      </x:c>
      <x:c r="U528" s="284">
        <x:f t="shared" si="334"/>
        <x:v>1928900.2241860467</x:v>
      </x:c>
      <x:c r="V528" s="282">
        <x:f t="shared" si="280"/>
        <x:v>19061450.856976748</x:v>
      </x:c>
      <x:c r="W528" s="1054"/>
    </x:row>
    <x:row r="529" spans="1:23">
      <x:c r="A529" s="76"/>
      <x:c r="B529" s="70"/>
      <x:c r="C529" s="240" t="s">
        <x:v>332</x:v>
      </x:c>
      <x:c r="D529" s="235"/>
      <x:c r="E529" s="235"/>
      <x:c r="F529" s="235" t="s">
        <x:v>380</x:v>
      </x:c>
      <x:c r="G529" s="236" t="s">
        <x:v>381</x:v>
      </x:c>
      <x:c r="H529" s="246">
        <x:v>1</x:v>
      </x:c>
      <x:c r="I529" s="235" t="s">
        <x:v>1089</x:v>
      </x:c>
      <x:c r="J529" s="284">
        <x:f t="shared" ref="J529:U529" si="335">+$I$475*J371*J52</x:f>
        <x:v>1585669.4783999999</x:v>
      </x:c>
      <x:c r="K529" s="284">
        <x:f t="shared" si="335"/>
        <x:v>2378504.2176000001</x:v>
      </x:c>
      <x:c r="L529" s="284">
        <x:f t="shared" si="335"/>
        <x:v>1849947.7248</x:v>
      </x:c>
      <x:c r="M529" s="284">
        <x:f t="shared" si="335"/>
        <x:v>1585669.4783999999</x:v>
      </x:c>
      <x:c r="N529" s="284">
        <x:f t="shared" si="335"/>
        <x:v>2114225.9712</x:v>
      </x:c>
      <x:c r="O529" s="284">
        <x:f t="shared" si="335"/>
        <x:v>2378504.2176000001</x:v>
      </x:c>
      <x:c r="P529" s="284">
        <x:f t="shared" si="335"/>
        <x:v>1585669.4783999999</x:v>
      </x:c>
      <x:c r="Q529" s="284">
        <x:f t="shared" si="335"/>
        <x:v>2114225.9712</x:v>
      </x:c>
      <x:c r="R529" s="284">
        <x:f t="shared" si="335"/>
        <x:v>2114225.9712</x:v>
      </x:c>
      <x:c r="S529" s="284">
        <x:f t="shared" si="335"/>
        <x:v>1404895.8167999999</x:v>
      </x:c>
      <x:c r="T529" s="284">
        <x:f t="shared" si="335"/>
        <x:v>1952263.7819999999</x:v>
      </x:c>
      <x:c r="U529" s="284">
        <x:f t="shared" si="335"/>
        <x:v>1925193.6143999998</x:v>
      </x:c>
      <x:c r="V529" s="282">
        <x:f t="shared" si="280"/>
        <x:v>22988995.721999999</x:v>
      </x:c>
      <x:c r="W529" s="1054"/>
    </x:row>
    <x:row r="530" spans="1:23">
      <x:c r="A530" s="76"/>
      <x:c r="B530" s="75"/>
      <x:c r="C530" s="235" t="s">
        <x:v>332</x:v>
      </x:c>
      <x:c r="D530" s="235"/>
      <x:c r="E530" s="247"/>
      <x:c r="F530" s="248" t="s">
        <x:v>382</x:v>
      </x:c>
      <x:c r="G530" s="236" t="s">
        <x:v>383</x:v>
      </x:c>
      <x:c r="H530" s="249">
        <x:v>1</x:v>
      </x:c>
      <x:c r="I530" s="235" t="s">
        <x:v>1089</x:v>
      </x:c>
      <x:c r="J530" s="284">
        <x:f t="shared" ref="J530:U530" si="336">+$I$475*J372*J53</x:f>
        <x:v>1352747.1743999999</x:v>
      </x:c>
      <x:c r="K530" s="284">
        <x:f t="shared" si="336"/>
        <x:v>2029120.7615999999</x:v>
      </x:c>
      <x:c r="L530" s="284">
        <x:f t="shared" si="336"/>
        <x:v>1578205.0367999999</x:v>
      </x:c>
      <x:c r="M530" s="284">
        <x:f t="shared" si="336"/>
        <x:v>1352747.1743999999</x:v>
      </x:c>
      <x:c r="N530" s="284">
        <x:f t="shared" si="336"/>
        <x:v>1803662.8991999999</x:v>
      </x:c>
      <x:c r="O530" s="284">
        <x:f t="shared" si="336"/>
        <x:v>2029120.7615999999</x:v>
      </x:c>
      <x:c r="P530" s="284">
        <x:f t="shared" si="336"/>
        <x:v>1352747.1743999999</x:v>
      </x:c>
      <x:c r="Q530" s="284">
        <x:f t="shared" si="336"/>
        <x:v>1803662.8991999999</x:v>
      </x:c>
      <x:c r="R530" s="284">
        <x:f t="shared" si="336"/>
        <x:v>1803662.8991999999</x:v>
      </x:c>
      <x:c r="S530" s="284">
        <x:f t="shared" si="336"/>
        <x:v>1198527.7338</x:v>
      </x:c>
      <x:c r="T530" s="284">
        <x:f t="shared" si="336"/>
        <x:v>1665491.6745</x:v>
      </x:c>
      <x:c r="U530" s="284">
        <x:f t="shared" si="336"/>
        <x:v>1642397.9003999999</x:v>
      </x:c>
      <x:c r="V530" s="282">
        <x:f t="shared" si="280"/>
        <x:v>19612094.089499999</x:v>
      </x:c>
      <x:c r="W530" s="1068"/>
    </x:row>
    <x:row r="531" spans="1:23">
      <x:c r="A531" s="76"/>
      <x:c r="B531" s="289" t="s">
        <x:v>435</x:v>
      </x:c>
      <x:c r="C531" s="127"/>
      <x:c r="D531" s="127"/>
      <x:c r="E531" s="127"/>
      <x:c r="F531" s="127"/>
      <x:c r="G531" s="127"/>
      <x:c r="H531" s="290"/>
      <x:c r="I531" s="290"/>
      <x:c r="J531" s="300">
        <x:f>SUM(J518:J530)</x:f>
        <x:v>13909189.363199998</x:v>
      </x:c>
      <x:c r="K531" s="300">
        <x:f t="shared" ref="K531:T531" si="337">SUM(K518:K530)</x:f>
        <x:v>20863784.044799998</x:v>
      </x:c>
      <x:c r="L531" s="300">
        <x:f t="shared" si="337"/>
        <x:v>19468954.216150068</x:v>
      </x:c>
      <x:c r="M531" s="300">
        <x:f t="shared" si="337"/>
        <x:v>16687675.042414339</x:v>
      </x:c>
      <x:c r="N531" s="300">
        <x:f t="shared" si="337"/>
        <x:v>22250233.389885787</x:v>
      </x:c>
      <x:c r="O531" s="300">
        <x:f t="shared" si="337"/>
        <x:v>25031512.563621506</x:v>
      </x:c>
      <x:c r="P531" s="300">
        <x:f t="shared" si="337"/>
        <x:v>16687675.042414339</x:v>
      </x:c>
      <x:c r="Q531" s="300">
        <x:f t="shared" si="337"/>
        <x:v>22250233.389885787</x:v>
      </x:c>
      <x:c r="R531" s="300">
        <x:f t="shared" si="337"/>
        <x:v>22250233.389885787</x:v>
      </x:c>
      <x:c r="S531" s="300">
        <x:f t="shared" si="337"/>
        <x:v>14785202.829824278</x:v>
      </x:c>
      <x:c r="T531" s="300">
        <x:f t="shared" si="337"/>
        <x:v>20545734.174037334</x:v>
      </x:c>
      <x:c r="U531" s="300">
        <x:f>SUM(U518:U530)</x:f>
        <x:v>20260846.203116484</x:v>
      </x:c>
      <x:c r="V531" s="151">
        <x:f>SUM(J531:U531)</x:f>
        <x:v>234991273.6492357</x:v>
      </x:c>
      <x:c r="W531" s="1061"/>
    </x:row>
    <x:row r="532" spans="1:23">
      <x:c r="A532" s="76"/>
      <x:c r="B532" s="70" t="s">
        <x:v>384</x:v>
      </x:c>
      <x:c r="C532" s="240"/>
      <x:c r="D532" s="235" t="s">
        <x:v>332</x:v>
      </x:c>
      <x:c r="E532" s="247"/>
      <x:c r="F532" s="248" t="s">
        <x:v>385</x:v>
      </x:c>
      <x:c r="G532" s="236" t="s">
        <x:v>386</x:v>
      </x:c>
      <x:c r="H532" s="249">
        <x:v>1</x:v>
      </x:c>
      <x:c r="I532" s="235" t="s">
        <x:v>387</x:v>
      </x:c>
      <x:c r="J532" s="284">
        <x:f t="shared" ref="J532:U532" si="338">+$I$475*J373*J54</x:f>
        <x:v>162613.7856</x:v>
      </x:c>
      <x:c r="K532" s="284">
        <x:f t="shared" si="338"/>
        <x:v>243920.6784</x:v>
      </x:c>
      <x:c r="L532" s="284">
        <x:f t="shared" si="338"/>
        <x:v>189716.08319999999</x:v>
      </x:c>
      <x:c r="M532" s="284">
        <x:f t="shared" si="338"/>
        <x:v>162613.7856</x:v>
      </x:c>
      <x:c r="N532" s="284">
        <x:f t="shared" si="338"/>
        <x:v>216818.38079999998</x:v>
      </x:c>
      <x:c r="O532" s="284">
        <x:f t="shared" si="338"/>
        <x:v>243920.6784</x:v>
      </x:c>
      <x:c r="P532" s="284">
        <x:f t="shared" si="338"/>
        <x:v>162613.7856</x:v>
      </x:c>
      <x:c r="Q532" s="284">
        <x:f t="shared" si="338"/>
        <x:v>216818.38079999998</x:v>
      </x:c>
      <x:c r="R532" s="284">
        <x:f t="shared" si="338"/>
        <x:v>216818.38079999998</x:v>
      </x:c>
      <x:c r="S532" s="284">
        <x:f t="shared" si="338"/>
        <x:v>144075.0612</x:v>
      </x:c>
      <x:c r="T532" s="284">
        <x:f t="shared" si="338"/>
        <x:v>200208.81299999999</x:v>
      </x:c>
      <x:c r="U532" s="284">
        <x:f t="shared" si="338"/>
        <x:v>197432.7096</x:v>
      </x:c>
      <x:c r="V532" s="111">
        <x:f t="shared" si="280"/>
        <x:v>2357570.523</x:v>
      </x:c>
      <x:c r="W532" s="1061"/>
    </x:row>
    <x:row r="533" spans="1:23">
      <x:c r="A533" s="76"/>
      <x:c r="B533" s="70" t="s">
        <x:v>388</x:v>
      </x:c>
      <x:c r="C533" s="240"/>
      <x:c r="D533" s="235" t="s">
        <x:v>332</x:v>
      </x:c>
      <x:c r="E533" s="247"/>
      <x:c r="F533" s="248" t="s">
        <x:v>389</x:v>
      </x:c>
      <x:c r="G533" s="236" t="s">
        <x:v>390</x:v>
      </x:c>
      <x:c r="H533" s="249">
        <x:v>1</x:v>
      </x:c>
      <x:c r="I533" s="235" t="s">
        <x:v>387</x:v>
      </x:c>
      <x:c r="J533" s="284">
        <x:f t="shared" ref="J533:U533" si="339">+$I$475*J374*J55</x:f>
        <x:v>188928.80640000003</x:v>
      </x:c>
      <x:c r="K533" s="284">
        <x:f t="shared" si="339"/>
        <x:v>283393.2096</x:v>
      </x:c>
      <x:c r="L533" s="284">
        <x:f t="shared" si="339"/>
        <x:v>220416.94080000001</x:v>
      </x:c>
      <x:c r="M533" s="284">
        <x:f t="shared" si="339"/>
        <x:v>188928.80640000003</x:v>
      </x:c>
      <x:c r="N533" s="284">
        <x:f t="shared" si="339"/>
        <x:v>251905.07520000002</x:v>
      </x:c>
      <x:c r="O533" s="284">
        <x:f t="shared" si="339"/>
        <x:v>283393.2096</x:v>
      </x:c>
      <x:c r="P533" s="284">
        <x:f t="shared" si="339"/>
        <x:v>188928.80640000003</x:v>
      </x:c>
      <x:c r="Q533" s="284">
        <x:f t="shared" si="339"/>
        <x:v>251905.07520000002</x:v>
      </x:c>
      <x:c r="R533" s="284">
        <x:f t="shared" si="339"/>
        <x:v>251905.07520000002</x:v>
      </x:c>
      <x:c r="S533" s="284">
        <x:f t="shared" si="339"/>
        <x:v>167390.04780000003</x:v>
      </x:c>
      <x:c r="T533" s="284">
        <x:f t="shared" si="339"/>
        <x:v>232607.65950000001</x:v>
      </x:c>
      <x:c r="U533" s="284">
        <x:f t="shared" si="339"/>
        <x:v>229382.31240000002</x:v>
      </x:c>
      <x:c r="V533" s="111">
        <x:f t="shared" si="280"/>
        <x:v>2739085.0245000003</x:v>
      </x:c>
      <x:c r="W533" s="1061"/>
    </x:row>
    <x:row r="534" spans="1:23">
      <x:c r="A534" s="76"/>
      <x:c r="B534" s="70"/>
      <x:c r="C534" s="240"/>
      <x:c r="D534" s="235" t="s">
        <x:v>332</x:v>
      </x:c>
      <x:c r="E534" s="247"/>
      <x:c r="F534" s="248" t="s">
        <x:v>391</x:v>
      </x:c>
      <x:c r="G534" s="236" t="s">
        <x:v>392</x:v>
      </x:c>
      <x:c r="H534" s="249">
        <x:v>2</x:v>
      </x:c>
      <x:c r="I534" s="235" t="s">
        <x:v>387</x:v>
      </x:c>
      <x:c r="J534" s="284">
        <x:f t="shared" ref="J534:U534" si="340">+$I$475*J375*J56</x:f>
        <x:v>291033.90720000002</x:v>
      </x:c>
      <x:c r="K534" s="284">
        <x:f t="shared" si="340"/>
        <x:v>436550.86080000002</x:v>
      </x:c>
      <x:c r="L534" s="284">
        <x:f t="shared" si="340"/>
        <x:v>339539.55840000004</x:v>
      </x:c>
      <x:c r="M534" s="284">
        <x:f t="shared" si="340"/>
        <x:v>291033.90720000002</x:v>
      </x:c>
      <x:c r="N534" s="284">
        <x:f t="shared" si="340"/>
        <x:v>388045.2096</x:v>
      </x:c>
      <x:c r="O534" s="284">
        <x:f t="shared" si="340"/>
        <x:v>436550.86080000002</x:v>
      </x:c>
      <x:c r="P534" s="284">
        <x:f t="shared" si="340"/>
        <x:v>291033.90720000002</x:v>
      </x:c>
      <x:c r="Q534" s="284">
        <x:f t="shared" si="340"/>
        <x:v>388045.2096</x:v>
      </x:c>
      <x:c r="R534" s="284">
        <x:f t="shared" si="340"/>
        <x:v>388045.2096</x:v>
      </x:c>
      <x:c r="S534" s="284">
        <x:f t="shared" si="340"/>
        <x:v>257854.69440000001</x:v>
      </x:c>
      <x:c r="T534" s="284">
        <x:f t="shared" si="340"/>
        <x:v>358318.65600000002</x:v>
      </x:c>
      <x:c r="U534" s="284">
        <x:f t="shared" si="340"/>
        <x:v>353350.19520000002</x:v>
      </x:c>
      <x:c r="V534" s="111">
        <x:f t="shared" si="280"/>
        <x:v>4219402.176</x:v>
      </x:c>
      <x:c r="W534" s="1061"/>
    </x:row>
    <x:row r="535" spans="1:23">
      <x:c r="A535" s="58"/>
      <x:c r="B535" s="289" t="s">
        <x:v>435</x:v>
      </x:c>
      <x:c r="C535" s="127"/>
      <x:c r="D535" s="127"/>
      <x:c r="E535" s="127"/>
      <x:c r="F535" s="127"/>
      <x:c r="G535" s="127"/>
      <x:c r="H535" s="290"/>
      <x:c r="I535" s="290"/>
      <x:c r="J535" s="300">
        <x:f>SUM(J532:J534)</x:f>
        <x:v>642576.49920000008</x:v>
      </x:c>
      <x:c r="K535" s="300">
        <x:f t="shared" ref="K535:T535" si="341">SUM(K532:K534)</x:f>
        <x:v>963864.74880000006</x:v>
      </x:c>
      <x:c r="L535" s="300">
        <x:f t="shared" si="341"/>
        <x:v>749672.58239999996</x:v>
      </x:c>
      <x:c r="M535" s="300">
        <x:f t="shared" si="341"/>
        <x:v>642576.49920000008</x:v>
      </x:c>
      <x:c r="N535" s="300">
        <x:f t="shared" si="341"/>
        <x:v>856768.66559999995</x:v>
      </x:c>
      <x:c r="O535" s="300">
        <x:f t="shared" si="341"/>
        <x:v>963864.74880000006</x:v>
      </x:c>
      <x:c r="P535" s="300">
        <x:f t="shared" si="341"/>
        <x:v>642576.49920000008</x:v>
      </x:c>
      <x:c r="Q535" s="300">
        <x:f t="shared" si="341"/>
        <x:v>856768.66559999995</x:v>
      </x:c>
      <x:c r="R535" s="300">
        <x:f t="shared" si="341"/>
        <x:v>856768.66559999995</x:v>
      </x:c>
      <x:c r="S535" s="300">
        <x:f t="shared" si="341"/>
        <x:v>569319.80340000009</x:v>
      </x:c>
      <x:c r="T535" s="300">
        <x:f t="shared" si="341"/>
        <x:v>791135.12850000011</x:v>
      </x:c>
      <x:c r="U535" s="300">
        <x:f>SUM(U532:U534)</x:f>
        <x:v>780165.21720000007</x:v>
      </x:c>
      <x:c r="V535" s="151">
        <x:f>SUM(J535:U535)</x:f>
        <x:v>9316057.7235000003</x:v>
      </x:c>
      <x:c r="W535" s="1077"/>
    </x:row>
    <x:row r="536" spans="1:23">
      <x:c r="A536" s="78"/>
      <x:c r="B536" s="79" t="s">
        <x:v>393</x:v>
      </x:c>
      <x:c r="C536" s="240" t="s">
        <x:v>332</x:v>
      </x:c>
      <x:c r="D536" s="250"/>
      <x:c r="E536" s="250"/>
      <x:c r="F536" s="251" t="s">
        <x:v>394</x:v>
      </x:c>
      <x:c r="G536" s="252" t="s">
        <x:v>395</x:v>
      </x:c>
      <x:c r="H536" s="253">
        <x:v>1</x:v>
      </x:c>
      <x:c r="I536" s="235" t="s">
        <x:v>396</x:v>
      </x:c>
      <x:c r="J536" s="1171">
        <x:f>+$L$475*J376*J57</x:f>
        <x:v>0</x:v>
      </x:c>
      <x:c r="K536" s="1171">
        <x:f t="shared" ref="K536:U536" si="342">+$L$475*K376*K57</x:f>
        <x:v>264339.03477947495</x:v>
      </x:c>
      <x:c r="L536" s="1171">
        <x:f t="shared" si="342"/>
        <x:v>0</x:v>
      </x:c>
      <x:c r="M536" s="1171">
        <x:f t="shared" si="342"/>
        <x:v>0</x:v>
      </x:c>
      <x:c r="N536" s="1171">
        <x:f t="shared" si="342"/>
        <x:v>0</x:v>
      </x:c>
      <x:c r="O536" s="1171">
        <x:f t="shared" si="342"/>
        <x:v>0</x:v>
      </x:c>
      <x:c r="P536" s="1171">
        <x:f t="shared" si="342"/>
        <x:v>0</x:v>
      </x:c>
      <x:c r="Q536" s="1171">
        <x:f t="shared" si="342"/>
        <x:v>0</x:v>
      </x:c>
      <x:c r="R536" s="1171">
        <x:f t="shared" si="342"/>
        <x:v>0</x:v>
      </x:c>
      <x:c r="S536" s="1171">
        <x:f t="shared" si="342"/>
        <x:v>5351079.3797250474</x:v>
      </x:c>
      <x:c r="T536" s="1171">
        <x:f t="shared" si="342"/>
        <x:v>5351079.3797250474</x:v>
      </x:c>
      <x:c r="U536" s="1171">
        <x:f t="shared" si="342"/>
        <x:v>5351079.3797250474</x:v>
      </x:c>
      <x:c r="V536" s="111">
        <x:f t="shared" si="280"/>
        <x:v>16317577.173954617</x:v>
      </x:c>
      <x:c r="W536" s="280"/>
    </x:row>
    <x:row r="537" spans="1:23">
      <x:c r="A537" s="78"/>
      <x:c r="B537" s="80"/>
      <x:c r="C537" s="235" t="s">
        <x:v>332</x:v>
      </x:c>
      <x:c r="D537" s="250"/>
      <x:c r="E537" s="250"/>
      <x:c r="F537" s="251" t="s">
        <x:v>397</x:v>
      </x:c>
      <x:c r="G537" s="252" t="s">
        <x:v>398</x:v>
      </x:c>
      <x:c r="H537" s="251">
        <x:v>1</x:v>
      </x:c>
      <x:c r="I537" s="235" t="s">
        <x:v>396</x:v>
      </x:c>
      <x:c r="J537" s="1171">
        <x:f t="shared" ref="J537:U537" si="343">+$L$475*J377*J58</x:f>
        <x:v>0</x:v>
      </x:c>
      <x:c r="K537" s="1171">
        <x:f>+$L$475*K377*K58</x:f>
        <x:v>190299.30285781025</x:v>
      </x:c>
      <x:c r="L537" s="1171">
        <x:f t="shared" si="343"/>
        <x:v>0</x:v>
      </x:c>
      <x:c r="M537" s="1171">
        <x:f t="shared" si="343"/>
        <x:v>0</x:v>
      </x:c>
      <x:c r="N537" s="1171">
        <x:f t="shared" si="343"/>
        <x:v>0</x:v>
      </x:c>
      <x:c r="O537" s="1171">
        <x:f t="shared" si="343"/>
        <x:v>0</x:v>
      </x:c>
      <x:c r="P537" s="1171">
        <x:f t="shared" si="343"/>
        <x:v>0</x:v>
      </x:c>
      <x:c r="Q537" s="1171">
        <x:f t="shared" si="343"/>
        <x:v>0</x:v>
      </x:c>
      <x:c r="R537" s="1171">
        <x:f t="shared" si="343"/>
        <x:v>0</x:v>
      </x:c>
      <x:c r="S537" s="1171">
        <x:f t="shared" si="343"/>
        <x:v>24131179.339808132</x:v>
      </x:c>
      <x:c r="T537" s="1171">
        <x:f t="shared" si="343"/>
        <x:v>24131179.339808132</x:v>
      </x:c>
      <x:c r="U537" s="1171">
        <x:f t="shared" si="343"/>
        <x:v>24131179.339808132</x:v>
      </x:c>
      <x:c r="V537" s="111">
        <x:f t="shared" si="280"/>
        <x:v>72583837.32228221</x:v>
      </x:c>
      <x:c r="W537" s="280"/>
    </x:row>
    <x:row r="538" spans="1:23">
      <x:c r="A538" s="76"/>
      <x:c r="B538" s="81"/>
      <x:c r="C538" s="235" t="s">
        <x:v>332</x:v>
      </x:c>
      <x:c r="D538" s="235"/>
      <x:c r="E538" s="247"/>
      <x:c r="F538" s="248" t="s">
        <x:v>399</x:v>
      </x:c>
      <x:c r="G538" s="236" t="s">
        <x:v>400</x:v>
      </x:c>
      <x:c r="H538" s="249">
        <x:v>1</x:v>
      </x:c>
      <x:c r="I538" s="235" t="s">
        <x:v>396</x:v>
      </x:c>
      <x:c r="J538" s="1171">
        <x:f t="shared" ref="J538:U538" si="344">+$L$475*J378*J59</x:f>
        <x:v>0</x:v>
      </x:c>
      <x:c r="K538" s="1171">
        <x:f>+$L$475*K378*K59</x:f>
        <x:v>58278.308977777771</x:v>
      </x:c>
      <x:c r="L538" s="1171">
        <x:f t="shared" si="344"/>
        <x:v>0</x:v>
      </x:c>
      <x:c r="M538" s="1171">
        <x:f t="shared" si="344"/>
        <x:v>0</x:v>
      </x:c>
      <x:c r="N538" s="1171">
        <x:f t="shared" si="344"/>
        <x:v>0</x:v>
      </x:c>
      <x:c r="O538" s="1171">
        <x:f t="shared" si="344"/>
        <x:v>0</x:v>
      </x:c>
      <x:c r="P538" s="1171">
        <x:f t="shared" si="344"/>
        <x:v>0</x:v>
      </x:c>
      <x:c r="Q538" s="1171">
        <x:f t="shared" si="344"/>
        <x:v>0</x:v>
      </x:c>
      <x:c r="R538" s="1171">
        <x:f t="shared" si="344"/>
        <x:v>0</x:v>
      </x:c>
      <x:c r="S538" s="1171">
        <x:f t="shared" si="344"/>
        <x:v>4010918.9119999995</x:v>
      </x:c>
      <x:c r="T538" s="1171">
        <x:f t="shared" si="344"/>
        <x:v>4010918.9119999995</x:v>
      </x:c>
      <x:c r="U538" s="1171">
        <x:f t="shared" si="344"/>
        <x:v>4010918.9119999995</x:v>
      </x:c>
      <x:c r="V538" s="111">
        <x:f t="shared" si="280"/>
        <x:v>12091035.044977777</x:v>
      </x:c>
      <x:c r="W538" s="1061"/>
    </x:row>
    <x:row r="539" spans="1:23">
      <x:c r="A539" s="76"/>
      <x:c r="B539" s="80"/>
      <x:c r="C539" s="235" t="s">
        <x:v>332</x:v>
      </x:c>
      <x:c r="D539" s="235"/>
      <x:c r="E539" s="247"/>
      <x:c r="F539" s="248" t="s">
        <x:v>401</x:v>
      </x:c>
      <x:c r="G539" s="236" t="s">
        <x:v>402</x:v>
      </x:c>
      <x:c r="H539" s="249">
        <x:v>2</x:v>
      </x:c>
      <x:c r="I539" s="235" t="s">
        <x:v>396</x:v>
      </x:c>
      <x:c r="J539" s="1171">
        <x:f t="shared" ref="J539:U539" si="345">+$L$475*J379*J60</x:f>
        <x:v>0</x:v>
      </x:c>
      <x:c r="K539" s="1171">
        <x:f t="shared" si="345"/>
        <x:v>69621.522962962961</x:v>
      </x:c>
      <x:c r="L539" s="1171">
        <x:f t="shared" si="345"/>
        <x:v>0</x:v>
      </x:c>
      <x:c r="M539" s="1171">
        <x:f t="shared" si="345"/>
        <x:v>0</x:v>
      </x:c>
      <x:c r="N539" s="1171">
        <x:f t="shared" si="345"/>
        <x:v>0</x:v>
      </x:c>
      <x:c r="O539" s="1171">
        <x:f t="shared" si="345"/>
        <x:v>0</x:v>
      </x:c>
      <x:c r="P539" s="1171">
        <x:f t="shared" si="345"/>
        <x:v>0</x:v>
      </x:c>
      <x:c r="Q539" s="1171">
        <x:f t="shared" si="345"/>
        <x:v>0</x:v>
      </x:c>
      <x:c r="R539" s="1171">
        <x:f t="shared" si="345"/>
        <x:v>0</x:v>
      </x:c>
      <x:c r="S539" s="1171">
        <x:f t="shared" si="345"/>
        <x:v>4791598.9333333327</x:v>
      </x:c>
      <x:c r="T539" s="1171">
        <x:f t="shared" si="345"/>
        <x:v>4791598.9333333327</x:v>
      </x:c>
      <x:c r="U539" s="1171">
        <x:f t="shared" si="345"/>
        <x:v>4791598.9333333327</x:v>
      </x:c>
      <x:c r="V539" s="111">
        <x:f t="shared" si="280"/>
        <x:v>14444418.322962962</x:v>
      </x:c>
      <x:c r="W539" s="1061"/>
    </x:row>
    <x:row r="540" spans="1:23">
      <x:c r="A540" s="76"/>
      <x:c r="B540" s="80"/>
      <x:c r="C540" s="235" t="s">
        <x:v>332</x:v>
      </x:c>
      <x:c r="D540" s="256"/>
      <x:c r="E540" s="256"/>
      <x:c r="F540" s="256" t="s">
        <x:v>403</x:v>
      </x:c>
      <x:c r="G540" s="257" t="s">
        <x:v>404</x:v>
      </x:c>
      <x:c r="H540" s="256">
        <x:v>1</x:v>
      </x:c>
      <x:c r="I540" s="235" t="s">
        <x:v>396</x:v>
      </x:c>
      <x:c r="J540" s="1171">
        <x:f t="shared" ref="J540:U540" si="346">+$L$475*J380*J61</x:f>
        <x:v>0</x:v>
      </x:c>
      <x:c r="K540" s="1171">
        <x:f t="shared" si="346"/>
        <x:v>107386.95395555554</x:v>
      </x:c>
      <x:c r="L540" s="1171">
        <x:f t="shared" si="346"/>
        <x:v>0</x:v>
      </x:c>
      <x:c r="M540" s="1171">
        <x:f t="shared" si="346"/>
        <x:v>0</x:v>
      </x:c>
      <x:c r="N540" s="1171">
        <x:f t="shared" si="346"/>
        <x:v>0</x:v>
      </x:c>
      <x:c r="O540" s="1171">
        <x:f t="shared" si="346"/>
        <x:v>0</x:v>
      </x:c>
      <x:c r="P540" s="1171">
        <x:f t="shared" si="346"/>
        <x:v>0</x:v>
      </x:c>
      <x:c r="Q540" s="1171">
        <x:f t="shared" si="346"/>
        <x:v>0</x:v>
      </x:c>
      <x:c r="R540" s="1171">
        <x:f t="shared" si="346"/>
        <x:v>0</x:v>
      </x:c>
      <x:c r="S540" s="1171">
        <x:f t="shared" si="346"/>
        <x:v>7390749.1839999985</x:v>
      </x:c>
      <x:c r="T540" s="1171">
        <x:f t="shared" si="346"/>
        <x:v>7390749.1839999985</x:v>
      </x:c>
      <x:c r="U540" s="1171">
        <x:f t="shared" si="346"/>
        <x:v>7390749.1839999985</x:v>
      </x:c>
      <x:c r="V540" s="111">
        <x:f t="shared" si="280"/>
        <x:v>22279634.505955551</x:v>
      </x:c>
      <x:c r="W540" s="1062"/>
    </x:row>
    <x:row r="541" spans="1:23">
      <x:c r="A541" s="78"/>
      <x:c r="B541" s="80"/>
      <x:c r="C541" s="240" t="s">
        <x:v>332</x:v>
      </x:c>
      <x:c r="D541" s="250"/>
      <x:c r="E541" s="250"/>
      <x:c r="F541" s="251" t="s">
        <x:v>405</x:v>
      </x:c>
      <x:c r="G541" s="252" t="s">
        <x:v>406</x:v>
      </x:c>
      <x:c r="H541" s="251">
        <x:v>1</x:v>
      </x:c>
      <x:c r="I541" s="235" t="s">
        <x:v>396</x:v>
      </x:c>
      <x:c r="J541" s="1171">
        <x:f t="shared" ref="J541:U541" si="347">+$L$475*J381*J62</x:f>
        <x:v>0</x:v>
      </x:c>
      <x:c r="K541" s="1171">
        <x:f t="shared" si="347"/>
        <x:v>43742.693451851846</x:v>
      </x:c>
      <x:c r="L541" s="1171">
        <x:f t="shared" si="347"/>
        <x:v>0</x:v>
      </x:c>
      <x:c r="M541" s="1171">
        <x:f t="shared" si="347"/>
        <x:v>0</x:v>
      </x:c>
      <x:c r="N541" s="1171">
        <x:f t="shared" si="347"/>
        <x:v>0</x:v>
      </x:c>
      <x:c r="O541" s="1171">
        <x:f t="shared" si="347"/>
        <x:v>0</x:v>
      </x:c>
      <x:c r="P541" s="1171">
        <x:f t="shared" si="347"/>
        <x:v>0</x:v>
      </x:c>
      <x:c r="Q541" s="1171">
        <x:f t="shared" si="347"/>
        <x:v>0</x:v>
      </x:c>
      <x:c r="R541" s="1171">
        <x:f t="shared" si="347"/>
        <x:v>0</x:v>
      </x:c>
      <x:c r="S541" s="1171">
        <x:f t="shared" si="347"/>
        <x:v>3010526.549333333</x:v>
      </x:c>
      <x:c r="T541" s="1171">
        <x:f t="shared" si="347"/>
        <x:v>3010526.549333333</x:v>
      </x:c>
      <x:c r="U541" s="1171">
        <x:f t="shared" si="347"/>
        <x:v>3010526.549333333</x:v>
      </x:c>
      <x:c r="V541" s="111">
        <x:f t="shared" si="280"/>
        <x:v>9075322.3414518498</x:v>
      </x:c>
      <x:c r="W541" s="1063"/>
    </x:row>
    <x:row r="542" spans="1:23">
      <x:c r="A542" s="78"/>
      <x:c r="B542" s="80"/>
      <x:c r="C542" s="235" t="s">
        <x:v>332</x:v>
      </x:c>
      <x:c r="D542" s="250"/>
      <x:c r="E542" s="250"/>
      <x:c r="F542" s="251" t="s">
        <x:v>407</x:v>
      </x:c>
      <x:c r="G542" s="252" t="s">
        <x:v>408</x:v>
      </x:c>
      <x:c r="H542" s="251">
        <x:v>1</x:v>
      </x:c>
      <x:c r="I542" s="235" t="s">
        <x:v>396</x:v>
      </x:c>
      <x:c r="J542" s="1171">
        <x:f t="shared" ref="J542:U542" si="348">+$L$475*J382*J63</x:f>
        <x:v>0</x:v>
      </x:c>
      <x:c r="K542" s="1171">
        <x:f t="shared" si="348"/>
        <x:v>89319.319703703688</x:v>
      </x:c>
      <x:c r="L542" s="1171">
        <x:f t="shared" si="348"/>
        <x:v>0</x:v>
      </x:c>
      <x:c r="M542" s="1171">
        <x:f t="shared" si="348"/>
        <x:v>0</x:v>
      </x:c>
      <x:c r="N542" s="1171">
        <x:f t="shared" si="348"/>
        <x:v>0</x:v>
      </x:c>
      <x:c r="O542" s="1171">
        <x:f t="shared" si="348"/>
        <x:v>0</x:v>
      </x:c>
      <x:c r="P542" s="1171">
        <x:f t="shared" si="348"/>
        <x:v>0</x:v>
      </x:c>
      <x:c r="Q542" s="1171">
        <x:f t="shared" si="348"/>
        <x:v>0</x:v>
      </x:c>
      <x:c r="R542" s="1171">
        <x:f t="shared" si="348"/>
        <x:v>0</x:v>
      </x:c>
      <x:c r="S542" s="1171">
        <x:f t="shared" si="348"/>
        <x:v>6147270.8266666662</x:v>
      </x:c>
      <x:c r="T542" s="1171">
        <x:f t="shared" si="348"/>
        <x:v>6147270.8266666662</x:v>
      </x:c>
      <x:c r="U542" s="1171">
        <x:f t="shared" si="348"/>
        <x:v>6147270.8266666662</x:v>
      </x:c>
      <x:c r="V542" s="111">
        <x:f t="shared" si="280"/>
        <x:v>18531131.799703702</x:v>
      </x:c>
      <x:c r="W542" s="1063"/>
    </x:row>
    <x:row r="543" spans="1:23">
      <x:c r="A543" s="78"/>
      <x:c r="B543" s="80"/>
      <x:c r="C543" s="240" t="s">
        <x:v>332</x:v>
      </x:c>
      <x:c r="D543" s="259"/>
      <x:c r="E543" s="259"/>
      <x:c r="F543" s="253" t="s">
        <x:v>409</x:v>
      </x:c>
      <x:c r="G543" s="260" t="s">
        <x:v>410</x:v>
      </x:c>
      <x:c r="H543" s="253">
        <x:v>1</x:v>
      </x:c>
      <x:c r="I543" s="240" t="s">
        <x:v>396</x:v>
      </x:c>
      <x:c r="J543" s="1171">
        <x:f t="shared" ref="J543:U543" si="349">+$L$475*J383*J64</x:f>
        <x:v>0</x:v>
      </x:c>
      <x:c r="K543" s="1171">
        <x:f t="shared" si="349"/>
        <x:v>67447.972977777768</x:v>
      </x:c>
      <x:c r="L543" s="1171">
        <x:f t="shared" si="349"/>
        <x:v>0</x:v>
      </x:c>
      <x:c r="M543" s="1171">
        <x:f t="shared" si="349"/>
        <x:v>0</x:v>
      </x:c>
      <x:c r="N543" s="1171">
        <x:f t="shared" si="349"/>
        <x:v>0</x:v>
      </x:c>
      <x:c r="O543" s="1171">
        <x:f t="shared" si="349"/>
        <x:v>0</x:v>
      </x:c>
      <x:c r="P543" s="1171">
        <x:f t="shared" si="349"/>
        <x:v>0</x:v>
      </x:c>
      <x:c r="Q543" s="1171">
        <x:f t="shared" si="349"/>
        <x:v>0</x:v>
      </x:c>
      <x:c r="R543" s="1171">
        <x:f t="shared" si="349"/>
        <x:v>0</x:v>
      </x:c>
      <x:c r="S543" s="1171">
        <x:f t="shared" si="349"/>
        <x:v>4642007.5519999992</x:v>
      </x:c>
      <x:c r="T543" s="1171">
        <x:f t="shared" si="349"/>
        <x:v>4642007.5519999992</x:v>
      </x:c>
      <x:c r="U543" s="1171">
        <x:f t="shared" si="349"/>
        <x:v>4642007.5519999992</x:v>
      </x:c>
      <x:c r="V543" s="111">
        <x:f t="shared" si="280"/>
        <x:v>13993470.628977776</x:v>
      </x:c>
      <x:c r="W543" s="280"/>
    </x:row>
    <x:row r="544" spans="1:23">
      <x:c r="A544" s="78"/>
      <x:c r="B544" s="80"/>
      <x:c r="C544" s="235" t="s">
        <x:v>332</x:v>
      </x:c>
      <x:c r="D544" s="250"/>
      <x:c r="E544" s="250"/>
      <x:c r="F544" s="251" t="s">
        <x:v>353</x:v>
      </x:c>
      <x:c r="G544" s="252" t="s">
        <x:v>411</x:v>
      </x:c>
      <x:c r="H544" s="251">
        <x:v>3</x:v>
      </x:c>
      <x:c r="I544" s="251" t="s">
        <x:v>1089</x:v>
      </x:c>
      <x:c r="J544" s="1201">
        <x:f t="shared" ref="J544" si="350">+$I$475*J384*J65</x:f>
        <x:v>0</x:v>
      </x:c>
      <x:c r="K544" s="1201">
        <x:f>+$I$475*K384*K65</x:f>
        <x:v>130228.58071225267</x:v>
      </x:c>
      <x:c r="L544" s="1201">
        <x:f t="shared" ref="L544:T544" si="351">+$I$475*L384*L65</x:f>
        <x:v>0</x:v>
      </x:c>
      <x:c r="M544" s="1201">
        <x:f t="shared" si="351"/>
        <x:v>0</x:v>
      </x:c>
      <x:c r="N544" s="1201">
        <x:f t="shared" si="351"/>
        <x:v>0</x:v>
      </x:c>
      <x:c r="O544" s="1201">
        <x:f t="shared" si="351"/>
        <x:v>0</x:v>
      </x:c>
      <x:c r="P544" s="1201">
        <x:f t="shared" si="351"/>
        <x:v>0</x:v>
      </x:c>
      <x:c r="Q544" s="1201">
        <x:f t="shared" si="351"/>
        <x:v>0</x:v>
      </x:c>
      <x:c r="R544" s="1201">
        <x:f t="shared" si="351"/>
        <x:v>0</x:v>
      </x:c>
      <x:c r="S544" s="1201">
        <x:f t="shared" si="351"/>
        <x:v>8962790.5549020953</x:v>
      </x:c>
      <x:c r="T544" s="1201">
        <x:f t="shared" si="351"/>
        <x:v>8962790.5549020953</x:v>
      </x:c>
      <x:c r="U544" s="1201">
        <x:f>+$I$475*U384*U65</x:f>
        <x:v>8962790.5549020953</x:v>
      </x:c>
      <x:c r="V544" s="111">
        <x:f t="shared" si="280"/>
        <x:v>27018600.245418537</x:v>
      </x:c>
      <x:c r="W544" s="280"/>
    </x:row>
    <x:row r="545" spans="1:23">
      <x:c r="A545" s="78"/>
      <x:c r="B545" s="80"/>
      <x:c r="C545" s="240" t="s">
        <x:v>332</x:v>
      </x:c>
      <x:c r="D545" s="250"/>
      <x:c r="E545" s="250"/>
      <x:c r="F545" s="251" t="s">
        <x:v>412</x:v>
      </x:c>
      <x:c r="G545" s="252" t="s">
        <x:v>413</x:v>
      </x:c>
      <x:c r="H545" s="251">
        <x:v>1</x:v>
      </x:c>
      <x:c r="I545" s="251" t="s">
        <x:v>1089</x:v>
      </x:c>
      <x:c r="J545" s="1201">
        <x:f t="shared" ref="J545:U547" si="352">+$I$475*J385*J66</x:f>
        <x:v>0</x:v>
      </x:c>
      <x:c r="K545" s="1201">
        <x:f t="shared" si="352"/>
        <x:v>59060.861249770482</x:v>
      </x:c>
      <x:c r="L545" s="1201">
        <x:f t="shared" si="352"/>
        <x:v>0</x:v>
      </x:c>
      <x:c r="M545" s="1201">
        <x:f t="shared" si="352"/>
        <x:v>0</x:v>
      </x:c>
      <x:c r="N545" s="1201">
        <x:f t="shared" si="352"/>
        <x:v>0</x:v>
      </x:c>
      <x:c r="O545" s="1201">
        <x:f t="shared" si="352"/>
        <x:v>0</x:v>
      </x:c>
      <x:c r="P545" s="1201">
        <x:f t="shared" si="352"/>
        <x:v>0</x:v>
      </x:c>
      <x:c r="Q545" s="1201">
        <x:f t="shared" si="352"/>
        <x:v>0</x:v>
      </x:c>
      <x:c r="R545" s="1201">
        <x:f t="shared" si="352"/>
        <x:v>0</x:v>
      </x:c>
      <x:c r="S545" s="1201">
        <x:f t="shared" si="352"/>
        <x:v>4064776.9213077333</x:v>
      </x:c>
      <x:c r="T545" s="1201">
        <x:f t="shared" si="352"/>
        <x:v>4064776.9213077333</x:v>
      </x:c>
      <x:c r="U545" s="1201">
        <x:f t="shared" si="352"/>
        <x:v>4064776.9213077333</x:v>
      </x:c>
      <x:c r="V545" s="111">
        <x:f t="shared" si="280"/>
        <x:v>12253391.625172971</x:v>
      </x:c>
      <x:c r="W545" s="280"/>
    </x:row>
    <x:row r="546" spans="1:23">
      <x:c r="A546" s="78"/>
      <x:c r="B546" s="80"/>
      <x:c r="C546" s="235" t="s">
        <x:v>332</x:v>
      </x:c>
      <x:c r="D546" s="250"/>
      <x:c r="E546" s="250"/>
      <x:c r="F546" s="251" t="s">
        <x:v>358</x:v>
      </x:c>
      <x:c r="G546" s="252" t="s">
        <x:v>414</x:v>
      </x:c>
      <x:c r="H546" s="253">
        <x:v>1</x:v>
      </x:c>
      <x:c r="I546" s="251" t="s">
        <x:v>1089</x:v>
      </x:c>
      <x:c r="J546" s="1201">
        <x:f t="shared" si="352"/>
        <x:v>0</x:v>
      </x:c>
      <x:c r="K546" s="1201">
        <x:f t="shared" si="352"/>
        <x:v>54755.74436619995</x:v>
      </x:c>
      <x:c r="L546" s="1201">
        <x:f t="shared" si="352"/>
        <x:v>0</x:v>
      </x:c>
      <x:c r="M546" s="1201">
        <x:f t="shared" si="352"/>
        <x:v>0</x:v>
      </x:c>
      <x:c r="N546" s="1201">
        <x:f t="shared" si="352"/>
        <x:v>0</x:v>
      </x:c>
      <x:c r="O546" s="1201">
        <x:f t="shared" si="352"/>
        <x:v>0</x:v>
      </x:c>
      <x:c r="P546" s="1201">
        <x:f t="shared" si="352"/>
        <x:v>0</x:v>
      </x:c>
      <x:c r="Q546" s="1201">
        <x:f t="shared" si="352"/>
        <x:v>0</x:v>
      </x:c>
      <x:c r="R546" s="1201">
        <x:f t="shared" si="352"/>
        <x:v>0</x:v>
      </x:c>
      <x:c r="S546" s="1201">
        <x:f t="shared" si="352"/>
        <x:v>3768483.5828502318</x:v>
      </x:c>
      <x:c r="T546" s="1201">
        <x:f t="shared" si="352"/>
        <x:v>3768483.5828502318</x:v>
      </x:c>
      <x:c r="U546" s="1201">
        <x:f t="shared" si="352"/>
        <x:v>3768483.5828502318</x:v>
      </x:c>
      <x:c r="V546" s="111">
        <x:f t="shared" si="280"/>
        <x:v>11360206.492916897</x:v>
      </x:c>
      <x:c r="W546" s="280"/>
    </x:row>
    <x:row r="547" spans="1:23">
      <x:c r="A547" s="78"/>
      <x:c r="B547" s="80"/>
      <x:c r="C547" s="240" t="s">
        <x:v>332</x:v>
      </x:c>
      <x:c r="D547" s="250"/>
      <x:c r="E547" s="250"/>
      <x:c r="F547" s="251" t="s">
        <x:v>415</x:v>
      </x:c>
      <x:c r="G547" s="252" t="s">
        <x:v>416</x:v>
      </x:c>
      <x:c r="H547" s="251">
        <x:v>1</x:v>
      </x:c>
      <x:c r="I547" s="251" t="s">
        <x:v>1089</x:v>
      </x:c>
      <x:c r="J547" s="1201">
        <x:f t="shared" si="352"/>
        <x:v>0</x:v>
      </x:c>
      <x:c r="K547" s="1201">
        <x:f t="shared" si="352"/>
        <x:v>58256.957124106135</x:v>
      </x:c>
      <x:c r="L547" s="1201">
        <x:f t="shared" si="352"/>
        <x:v>0</x:v>
      </x:c>
      <x:c r="M547" s="1201">
        <x:f t="shared" si="352"/>
        <x:v>0</x:v>
      </x:c>
      <x:c r="N547" s="1201">
        <x:f t="shared" si="352"/>
        <x:v>0</x:v>
      </x:c>
      <x:c r="O547" s="1201">
        <x:f t="shared" si="352"/>
        <x:v>0</x:v>
      </x:c>
      <x:c r="P547" s="1201">
        <x:f t="shared" si="352"/>
        <x:v>0</x:v>
      </x:c>
      <x:c r="Q547" s="1201">
        <x:f t="shared" si="352"/>
        <x:v>0</x:v>
      </x:c>
      <x:c r="R547" s="1201">
        <x:f t="shared" si="352"/>
        <x:v>0</x:v>
      </x:c>
      <x:c r="S547" s="1201">
        <x:f t="shared" si="352"/>
        <x:v>4009449.4020708343</x:v>
      </x:c>
      <x:c r="T547" s="1201">
        <x:f t="shared" si="352"/>
        <x:v>4009449.4020708343</x:v>
      </x:c>
      <x:c r="U547" s="1201">
        <x:f t="shared" si="352"/>
        <x:v>4009449.4020708343</x:v>
      </x:c>
      <x:c r="V547" s="111">
        <x:f t="shared" si="280"/>
        <x:v>12086605.163336609</x:v>
      </x:c>
      <x:c r="W547" s="280"/>
    </x:row>
    <x:row r="548" spans="1:23">
      <x:c r="A548" s="78"/>
      <x:c r="B548" s="80"/>
      <x:c r="C548" s="240" t="s">
        <x:v>332</x:v>
      </x:c>
      <x:c r="D548" s="259"/>
      <x:c r="E548" s="259"/>
      <x:c r="F548" s="253" t="s">
        <x:v>417</x:v>
      </x:c>
      <x:c r="G548" s="260" t="s">
        <x:v>418</x:v>
      </x:c>
      <x:c r="H548" s="253">
        <x:v>1</x:v>
      </x:c>
      <x:c r="I548" s="240" t="s">
        <x:v>396</x:v>
      </x:c>
      <x:c r="J548" s="1172">
        <x:f t="shared" ref="J548:U548" si="353">+$L$475*J388*J69</x:f>
        <x:v>0</x:v>
      </x:c>
      <x:c r="K548" s="1172">
        <x:f t="shared" si="353"/>
        <x:v>89760.187276581681</x:v>
      </x:c>
      <x:c r="L548" s="1172">
        <x:f t="shared" si="353"/>
        <x:v>0</x:v>
      </x:c>
      <x:c r="M548" s="1172">
        <x:f t="shared" si="353"/>
        <x:v>0</x:v>
      </x:c>
      <x:c r="N548" s="1172">
        <x:f t="shared" si="353"/>
        <x:v>0</x:v>
      </x:c>
      <x:c r="O548" s="1172">
        <x:f t="shared" si="353"/>
        <x:v>0</x:v>
      </x:c>
      <x:c r="P548" s="1172">
        <x:f t="shared" si="353"/>
        <x:v>0</x:v>
      </x:c>
      <x:c r="Q548" s="1172">
        <x:f t="shared" si="353"/>
        <x:v>0</x:v>
      </x:c>
      <x:c r="R548" s="1172">
        <x:f t="shared" si="353"/>
        <x:v>0</x:v>
      </x:c>
      <x:c r="S548" s="1172">
        <x:f t="shared" si="353"/>
        <x:v>6177612.8890353274</x:v>
      </x:c>
      <x:c r="T548" s="1172">
        <x:f t="shared" si="353"/>
        <x:v>6177612.8890353274</x:v>
      </x:c>
      <x:c r="U548" s="1172">
        <x:f t="shared" si="353"/>
        <x:v>6177612.8890353274</x:v>
      </x:c>
      <x:c r="V548" s="302">
        <x:f t="shared" si="280"/>
        <x:v>18622598.854382563</x:v>
      </x:c>
      <x:c r="W548" s="280"/>
    </x:row>
    <x:row r="549" spans="1:23">
      <x:c r="A549" s="76"/>
      <x:c r="B549" s="289" t="s">
        <x:v>435</x:v>
      </x:c>
      <x:c r="C549" s="127"/>
      <x:c r="D549" s="127"/>
      <x:c r="E549" s="127"/>
      <x:c r="F549" s="127"/>
      <x:c r="G549" s="127"/>
      <x:c r="H549" s="127"/>
      <x:c r="I549" s="294"/>
      <x:c r="J549" s="292">
        <x:f t="shared" ref="J549:S549" si="354">SUM(J536:J548)</x:f>
        <x:v>0</x:v>
      </x:c>
      <x:c r="K549" s="292">
        <x:f t="shared" si="354"/>
        <x:v>1282497.4403958255</x:v>
      </x:c>
      <x:c r="L549" s="292">
        <x:f t="shared" si="354"/>
        <x:v>0</x:v>
      </x:c>
      <x:c r="M549" s="292">
        <x:f t="shared" si="354"/>
        <x:v>0</x:v>
      </x:c>
      <x:c r="N549" s="292">
        <x:f t="shared" si="354"/>
        <x:v>0</x:v>
      </x:c>
      <x:c r="O549" s="292">
        <x:f t="shared" si="354"/>
        <x:v>0</x:v>
      </x:c>
      <x:c r="P549" s="292">
        <x:f t="shared" si="354"/>
        <x:v>0</x:v>
      </x:c>
      <x:c r="Q549" s="292">
        <x:f t="shared" si="354"/>
        <x:v>0</x:v>
      </x:c>
      <x:c r="R549" s="292">
        <x:f t="shared" si="354"/>
        <x:v>0</x:v>
      </x:c>
      <x:c r="S549" s="292">
        <x:f t="shared" si="354"/>
        <x:v>86458444.027032733</x:v>
      </x:c>
      <x:c r="T549" s="292">
        <x:f t="shared" ref="T549:U549" si="355">SUM(T536:T548)</x:f>
        <x:v>86458444.027032733</x:v>
      </x:c>
      <x:c r="U549" s="292">
        <x:f t="shared" si="355"/>
        <x:v>86458444.027032733</x:v>
      </x:c>
      <x:c r="V549" s="128">
        <x:f>SUM(J549:U549)</x:f>
        <x:v>260657829.52149403</x:v>
      </x:c>
      <x:c r="W549" s="1056"/>
    </x:row>
    <x:row r="550" spans="1:23" s="48" customFormat="1" ht="13.5">
      <x:c r="A550" s="258"/>
      <x:c r="B550" s="1218" t="s">
        <x:v>1046</x:v>
      </x:c>
      <x:c r="C550" s="235"/>
      <x:c r="D550" s="235" t="s">
        <x:v>332</x:v>
      </x:c>
      <x:c r="E550" s="250"/>
      <x:c r="F550" s="251" t="s">
        <x:v>1047</x:v>
      </x:c>
      <x:c r="G550" s="252" t="s">
        <x:v>386</x:v>
      </x:c>
      <x:c r="H550" s="251">
        <x:v>1</x:v>
      </x:c>
      <x:c r="I550" s="251" t="s">
        <x:v>1089</x:v>
      </x:c>
      <x:c r="J550" s="129">
        <x:f t="shared" ref="J550:U550" si="356">+$I$475*J389*J70</x:f>
        <x:v>0</x:v>
      </x:c>
      <x:c r="K550" s="129">
        <x:f t="shared" si="356"/>
        <x:v>3199.5767999999998</x:v>
      </x:c>
      <x:c r="L550" s="129">
        <x:f t="shared" si="356"/>
        <x:v>0</x:v>
      </x:c>
      <x:c r="M550" s="129">
        <x:f t="shared" si="356"/>
        <x:v>0</x:v>
      </x:c>
      <x:c r="N550" s="129">
        <x:f t="shared" si="356"/>
        <x:v>0</x:v>
      </x:c>
      <x:c r="O550" s="129">
        <x:f t="shared" si="356"/>
        <x:v>0</x:v>
      </x:c>
      <x:c r="P550" s="129">
        <x:f t="shared" si="356"/>
        <x:v>0</x:v>
      </x:c>
      <x:c r="Q550" s="129">
        <x:f t="shared" si="356"/>
        <x:v>0</x:v>
      </x:c>
      <x:c r="R550" s="129">
        <x:f t="shared" si="356"/>
        <x:v>0</x:v>
      </x:c>
      <x:c r="S550" s="129">
        <x:f t="shared" si="356"/>
        <x:v>220206.16800000001</x:v>
      </x:c>
      <x:c r="T550" s="129">
        <x:f t="shared" si="356"/>
        <x:v>220206.16800000001</x:v>
      </x:c>
      <x:c r="U550" s="129">
        <x:f t="shared" si="356"/>
        <x:v>220206.16800000001</x:v>
      </x:c>
      <x:c r="V550" s="302">
        <x:f t="shared" si="280"/>
        <x:v>663818.08080000011</x:v>
      </x:c>
      <x:c r="W550" s="1063"/>
    </x:row>
    <x:row r="551" spans="1:23" s="48" customFormat="1" ht="13.5">
      <x:c r="A551" s="258"/>
      <x:c r="B551" s="1219"/>
      <x:c r="C551" s="235"/>
      <x:c r="D551" s="235" t="s">
        <x:v>332</x:v>
      </x:c>
      <x:c r="E551" s="250"/>
      <x:c r="F551" s="263" t="s">
        <x:v>1048</x:v>
      </x:c>
      <x:c r="G551" s="252" t="s">
        <x:v>390</x:v>
      </x:c>
      <x:c r="H551" s="251">
        <x:v>1</x:v>
      </x:c>
      <x:c r="I551" s="251" t="s">
        <x:v>1089</x:v>
      </x:c>
      <x:c r="J551" s="129">
        <x:f t="shared" ref="J551:U551" si="357">+$I$475*J390*J71</x:f>
        <x:v>0</x:v>
      </x:c>
      <x:c r="K551" s="129">
        <x:f t="shared" si="357"/>
        <x:v>3717.3492000000006</x:v>
      </x:c>
      <x:c r="L551" s="129">
        <x:f t="shared" si="357"/>
        <x:v>0</x:v>
      </x:c>
      <x:c r="M551" s="129">
        <x:f t="shared" si="357"/>
        <x:v>0</x:v>
      </x:c>
      <x:c r="N551" s="129">
        <x:f t="shared" si="357"/>
        <x:v>0</x:v>
      </x:c>
      <x:c r="O551" s="129">
        <x:f t="shared" si="357"/>
        <x:v>0</x:v>
      </x:c>
      <x:c r="P551" s="129">
        <x:f t="shared" si="357"/>
        <x:v>0</x:v>
      </x:c>
      <x:c r="Q551" s="129">
        <x:f t="shared" si="357"/>
        <x:v>0</x:v>
      </x:c>
      <x:c r="R551" s="129">
        <x:f t="shared" si="357"/>
        <x:v>0</x:v>
      </x:c>
      <x:c r="S551" s="129">
        <x:f t="shared" si="357"/>
        <x:v>255841.09200000003</x:v>
      </x:c>
      <x:c r="T551" s="129">
        <x:f t="shared" si="357"/>
        <x:v>255841.09200000003</x:v>
      </x:c>
      <x:c r="U551" s="129">
        <x:f t="shared" si="357"/>
        <x:v>255841.09200000003</x:v>
      </x:c>
      <x:c r="V551" s="302">
        <x:f t="shared" ref="V551:V557" si="358">SUM(J551:U551)</x:f>
        <x:v>771240.62520000013</x:v>
      </x:c>
      <x:c r="W551" s="1063"/>
    </x:row>
    <x:row r="552" spans="1:23" s="48" customFormat="1" ht="13.5">
      <x:c r="A552" s="258"/>
      <x:c r="B552" s="1219"/>
      <x:c r="C552" s="235"/>
      <x:c r="D552" s="235" t="s">
        <x:v>332</x:v>
      </x:c>
      <x:c r="E552" s="250"/>
      <x:c r="F552" s="251" t="s">
        <x:v>1049</x:v>
      </x:c>
      <x:c r="G552" s="252" t="s">
        <x:v>1050</x:v>
      </x:c>
      <x:c r="H552" s="251">
        <x:v>2</x:v>
      </x:c>
      <x:c r="I552" s="251" t="s">
        <x:v>1089</x:v>
      </x:c>
      <x:c r="J552" s="129">
        <x:f t="shared" ref="J552:U552" si="359">+$I$475*J391*J72</x:f>
        <x:v>0</x:v>
      </x:c>
      <x:c r="K552" s="129">
        <x:f t="shared" si="359"/>
        <x:v>5726.3616000000002</x:v>
      </x:c>
      <x:c r="L552" s="129">
        <x:f t="shared" si="359"/>
        <x:v>0</x:v>
      </x:c>
      <x:c r="M552" s="129">
        <x:f t="shared" si="359"/>
        <x:v>0</x:v>
      </x:c>
      <x:c r="N552" s="129">
        <x:f t="shared" si="359"/>
        <x:v>0</x:v>
      </x:c>
      <x:c r="O552" s="129">
        <x:f t="shared" si="359"/>
        <x:v>0</x:v>
      </x:c>
      <x:c r="P552" s="129">
        <x:f t="shared" si="359"/>
        <x:v>0</x:v>
      </x:c>
      <x:c r="Q552" s="129">
        <x:f t="shared" si="359"/>
        <x:v>0</x:v>
      </x:c>
      <x:c r="R552" s="129">
        <x:f t="shared" si="359"/>
        <x:v>0</x:v>
      </x:c>
      <x:c r="S552" s="129">
        <x:f t="shared" si="359"/>
        <x:v>394108.41600000003</x:v>
      </x:c>
      <x:c r="T552" s="129">
        <x:f t="shared" si="359"/>
        <x:v>394108.41600000003</x:v>
      </x:c>
      <x:c r="U552" s="129">
        <x:f t="shared" si="359"/>
        <x:v>394108.41600000003</x:v>
      </x:c>
      <x:c r="V552" s="302">
        <x:f t="shared" si="358"/>
        <x:v>1188051.6096000001</x:v>
      </x:c>
      <x:c r="W552" s="1063"/>
    </x:row>
    <x:row r="553" spans="1:23" s="48" customFormat="1" ht="13.5">
      <x:c r="A553" s="258"/>
      <x:c r="B553" s="1219"/>
      <x:c r="C553" s="235"/>
      <x:c r="D553" s="235" t="s">
        <x:v>332</x:v>
      </x:c>
      <x:c r="E553" s="250"/>
      <x:c r="F553" s="251" t="s">
        <x:v>1051</x:v>
      </x:c>
      <x:c r="G553" s="252" t="s">
        <x:v>1052</x:v>
      </x:c>
      <x:c r="H553" s="251">
        <x:v>4</x:v>
      </x:c>
      <x:c r="I553" s="251" t="s">
        <x:v>1089</x:v>
      </x:c>
      <x:c r="J553" s="129">
        <x:f t="shared" ref="J553:U553" si="360">+$I$475*J392*J73</x:f>
        <x:v>0</x:v>
      </x:c>
      <x:c r="K553" s="129">
        <x:f t="shared" si="360"/>
        <x:v>13253.308800000001</x:v>
      </x:c>
      <x:c r="L553" s="129">
        <x:f t="shared" si="360"/>
        <x:v>0</x:v>
      </x:c>
      <x:c r="M553" s="129">
        <x:f t="shared" si="360"/>
        <x:v>0</x:v>
      </x:c>
      <x:c r="N553" s="129">
        <x:f t="shared" si="360"/>
        <x:v>0</x:v>
      </x:c>
      <x:c r="O553" s="129">
        <x:f t="shared" si="360"/>
        <x:v>0</x:v>
      </x:c>
      <x:c r="P553" s="129">
        <x:f t="shared" si="360"/>
        <x:v>0</x:v>
      </x:c>
      <x:c r="Q553" s="129">
        <x:f t="shared" si="360"/>
        <x:v>0</x:v>
      </x:c>
      <x:c r="R553" s="129">
        <x:f t="shared" si="360"/>
        <x:v>0</x:v>
      </x:c>
      <x:c r="S553" s="129">
        <x:f t="shared" si="360"/>
        <x:v>912139.48800000001</x:v>
      </x:c>
      <x:c r="T553" s="129">
        <x:f t="shared" si="360"/>
        <x:v>912139.48800000001</x:v>
      </x:c>
      <x:c r="U553" s="129">
        <x:f t="shared" si="360"/>
        <x:v>912139.48800000001</x:v>
      </x:c>
      <x:c r="V553" s="302">
        <x:f t="shared" si="358"/>
        <x:v>2749671.7727999999</x:v>
      </x:c>
      <x:c r="W553" s="1063"/>
    </x:row>
    <x:row r="554" spans="1:23" s="48" customFormat="1" ht="13.5">
      <x:c r="A554" s="258"/>
      <x:c r="B554" s="1219"/>
      <x:c r="C554" s="235"/>
      <x:c r="D554" s="235" t="s">
        <x:v>332</x:v>
      </x:c>
      <x:c r="E554" s="250"/>
      <x:c r="F554" s="251" t="s">
        <x:v>1053</x:v>
      </x:c>
      <x:c r="G554" s="252" t="s">
        <x:v>1054</x:v>
      </x:c>
      <x:c r="H554" s="251">
        <x:v>1</x:v>
      </x:c>
      <x:c r="I554" s="251" t="s">
        <x:v>1089</x:v>
      </x:c>
      <x:c r="J554" s="129">
        <x:f t="shared" ref="J554:U554" si="361">+$I$475*J393*J74</x:f>
        <x:v>0</x:v>
      </x:c>
      <x:c r="K554" s="129">
        <x:f t="shared" si="361"/>
        <x:v>1983.0023999999999</x:v>
      </x:c>
      <x:c r="L554" s="129">
        <x:f t="shared" si="361"/>
        <x:v>0</x:v>
      </x:c>
      <x:c r="M554" s="129">
        <x:f t="shared" si="361"/>
        <x:v>0</x:v>
      </x:c>
      <x:c r="N554" s="129">
        <x:f t="shared" si="361"/>
        <x:v>0</x:v>
      </x:c>
      <x:c r="O554" s="129">
        <x:f t="shared" si="361"/>
        <x:v>0</x:v>
      </x:c>
      <x:c r="P554" s="129">
        <x:f t="shared" si="361"/>
        <x:v>0</x:v>
      </x:c>
      <x:c r="Q554" s="129">
        <x:f t="shared" si="361"/>
        <x:v>0</x:v>
      </x:c>
      <x:c r="R554" s="129">
        <x:f t="shared" si="361"/>
        <x:v>0</x:v>
      </x:c>
      <x:c r="S554" s="129">
        <x:f t="shared" si="361"/>
        <x:v>136477.22399999999</x:v>
      </x:c>
      <x:c r="T554" s="129">
        <x:f t="shared" si="361"/>
        <x:v>136477.22399999999</x:v>
      </x:c>
      <x:c r="U554" s="129">
        <x:f t="shared" si="361"/>
        <x:v>136477.22399999999</x:v>
      </x:c>
      <x:c r="V554" s="302">
        <x:f t="shared" si="358"/>
        <x:v>411414.67439999996</x:v>
      </x:c>
      <x:c r="W554" s="1063"/>
    </x:row>
    <x:row r="555" spans="1:23" s="48" customFormat="1" ht="13.5">
      <x:c r="A555" s="258"/>
      <x:c r="B555" s="1219"/>
      <x:c r="C555" s="235"/>
      <x:c r="D555" s="235" t="s">
        <x:v>332</x:v>
      </x:c>
      <x:c r="E555" s="250"/>
      <x:c r="F555" s="251" t="s">
        <x:v>1055</x:v>
      </x:c>
      <x:c r="G555" s="252" t="s">
        <x:v>1056</x:v>
      </x:c>
      <x:c r="H555" s="251">
        <x:v>2</x:v>
      </x:c>
      <x:c r="I555" s="251" t="s">
        <x:v>1089</x:v>
      </x:c>
      <x:c r="J555" s="129">
        <x:f t="shared" ref="J555:U555" si="362">+$I$475*J394*J75</x:f>
        <x:v>0</x:v>
      </x:c>
      <x:c r="K555" s="129">
        <x:f t="shared" si="362"/>
        <x:v>3819.6653999999999</x:v>
      </x:c>
      <x:c r="L555" s="129">
        <x:f t="shared" si="362"/>
        <x:v>0</x:v>
      </x:c>
      <x:c r="M555" s="129">
        <x:f t="shared" si="362"/>
        <x:v>0</x:v>
      </x:c>
      <x:c r="N555" s="129">
        <x:f t="shared" si="362"/>
        <x:v>0</x:v>
      </x:c>
      <x:c r="O555" s="129">
        <x:f t="shared" si="362"/>
        <x:v>0</x:v>
      </x:c>
      <x:c r="P555" s="129">
        <x:f t="shared" si="362"/>
        <x:v>0</x:v>
      </x:c>
      <x:c r="Q555" s="129">
        <x:f t="shared" si="362"/>
        <x:v>0</x:v>
      </x:c>
      <x:c r="R555" s="129">
        <x:f t="shared" si="362"/>
        <x:v>0</x:v>
      </x:c>
      <x:c r="S555" s="129">
        <x:f t="shared" si="362"/>
        <x:v>77322.415800000002</x:v>
      </x:c>
      <x:c r="T555" s="129">
        <x:f t="shared" si="362"/>
        <x:v>77322.415800000002</x:v>
      </x:c>
      <x:c r="U555" s="129">
        <x:f t="shared" si="362"/>
        <x:v>77322.415800000002</x:v>
      </x:c>
      <x:c r="V555" s="302">
        <x:f t="shared" si="358"/>
        <x:v>235786.91279999999</x:v>
      </x:c>
      <x:c r="W555" s="1063"/>
    </x:row>
    <x:row r="556" spans="1:23" s="48" customFormat="1" ht="13.5">
      <x:c r="A556" s="258"/>
      <x:c r="B556" s="1219"/>
      <x:c r="C556" s="235"/>
      <x:c r="D556" s="235" t="s">
        <x:v>332</x:v>
      </x:c>
      <x:c r="E556" s="250"/>
      <x:c r="F556" s="251" t="s">
        <x:v>1057</x:v>
      </x:c>
      <x:c r="G556" s="252" t="s">
        <x:v>1058</x:v>
      </x:c>
      <x:c r="H556" s="251">
        <x:v>1</x:v>
      </x:c>
      <x:c r="I556" s="251" t="s">
        <x:v>1089</x:v>
      </x:c>
      <x:c r="J556" s="129">
        <x:f t="shared" ref="J556:U556" si="363">+$I$475*J395*J76</x:f>
        <x:v>0</x:v>
      </x:c>
      <x:c r="K556" s="129">
        <x:f t="shared" si="363"/>
        <x:v>778.38749999999993</x:v>
      </x:c>
      <x:c r="L556" s="129">
        <x:f t="shared" si="363"/>
        <x:v>0</x:v>
      </x:c>
      <x:c r="M556" s="129">
        <x:f t="shared" si="363"/>
        <x:v>0</x:v>
      </x:c>
      <x:c r="N556" s="129">
        <x:f t="shared" si="363"/>
        <x:v>0</x:v>
      </x:c>
      <x:c r="O556" s="129">
        <x:f t="shared" si="363"/>
        <x:v>0</x:v>
      </x:c>
      <x:c r="P556" s="129">
        <x:f t="shared" si="363"/>
        <x:v>0</x:v>
      </x:c>
      <x:c r="Q556" s="129">
        <x:f t="shared" si="363"/>
        <x:v>0</x:v>
      </x:c>
      <x:c r="R556" s="129">
        <x:f t="shared" si="363"/>
        <x:v>0</x:v>
      </x:c>
      <x:c r="S556" s="129">
        <x:f t="shared" si="363"/>
        <x:v>15757.087499999998</x:v>
      </x:c>
      <x:c r="T556" s="129">
        <x:f t="shared" si="363"/>
        <x:v>15757.087499999998</x:v>
      </x:c>
      <x:c r="U556" s="129">
        <x:f t="shared" si="363"/>
        <x:v>15757.087499999998</x:v>
      </x:c>
      <x:c r="V556" s="302">
        <x:f t="shared" si="358"/>
        <x:v>48049.649999999994</x:v>
      </x:c>
      <x:c r="W556" s="1063"/>
    </x:row>
    <x:row r="557" spans="1:23" s="48" customFormat="1" ht="13.5">
      <x:c r="A557" s="258"/>
      <x:c r="B557" s="1219"/>
      <x:c r="C557" s="240"/>
      <x:c r="D557" s="240" t="s">
        <x:v>332</x:v>
      </x:c>
      <x:c r="E557" s="259"/>
      <x:c r="F557" s="253" t="s">
        <x:v>1059</x:v>
      </x:c>
      <x:c r="G557" s="260" t="s">
        <x:v>1060</x:v>
      </x:c>
      <x:c r="H557" s="253">
        <x:v>1</x:v>
      </x:c>
      <x:c r="I557" s="253" t="s">
        <x:v>1089</x:v>
      </x:c>
      <x:c r="J557" s="129">
        <x:f t="shared" ref="J557:U557" si="364">+$I$475*J396*J77</x:f>
        <x:v>0</x:v>
      </x:c>
      <x:c r="K557" s="129">
        <x:f t="shared" si="364"/>
        <x:v>2191.0824000000002</x:v>
      </x:c>
      <x:c r="L557" s="129">
        <x:f t="shared" si="364"/>
        <x:v>0</x:v>
      </x:c>
      <x:c r="M557" s="129">
        <x:f t="shared" si="364"/>
        <x:v>0</x:v>
      </x:c>
      <x:c r="N557" s="129">
        <x:f t="shared" si="364"/>
        <x:v>0</x:v>
      </x:c>
      <x:c r="O557" s="129">
        <x:f t="shared" si="364"/>
        <x:v>0</x:v>
      </x:c>
      <x:c r="P557" s="129">
        <x:f t="shared" si="364"/>
        <x:v>0</x:v>
      </x:c>
      <x:c r="Q557" s="129">
        <x:f t="shared" si="364"/>
        <x:v>0</x:v>
      </x:c>
      <x:c r="R557" s="129">
        <x:f t="shared" si="364"/>
        <x:v>0</x:v>
      </x:c>
      <x:c r="S557" s="129">
        <x:f t="shared" si="364"/>
        <x:v>150798.024</x:v>
      </x:c>
      <x:c r="T557" s="129">
        <x:f t="shared" si="364"/>
        <x:v>150798.024</x:v>
      </x:c>
      <x:c r="U557" s="129">
        <x:f t="shared" si="364"/>
        <x:v>150798.024</x:v>
      </x:c>
      <x:c r="V557" s="302">
        <x:f t="shared" si="358"/>
        <x:v>454585.1544</x:v>
      </x:c>
      <x:c r="W557" s="280"/>
    </x:row>
    <x:row r="558" spans="1:23">
      <x:c r="A558" s="76"/>
      <x:c r="B558" s="289" t="s">
        <x:v>435</x:v>
      </x:c>
      <x:c r="C558" s="127"/>
      <x:c r="D558" s="127"/>
      <x:c r="E558" s="127"/>
      <x:c r="F558" s="127"/>
      <x:c r="G558" s="127"/>
      <x:c r="H558" s="127"/>
      <x:c r="I558" s="294"/>
      <x:c r="J558" s="292">
        <x:f>SUM(J550:J557)</x:f>
        <x:v>0</x:v>
      </x:c>
      <x:c r="K558" s="292">
        <x:f t="shared" ref="K558:U558" si="365">SUM(K550:K557)</x:f>
        <x:v>34668.734100000009</x:v>
      </x:c>
      <x:c r="L558" s="292">
        <x:f t="shared" si="365"/>
        <x:v>0</x:v>
      </x:c>
      <x:c r="M558" s="292">
        <x:f t="shared" si="365"/>
        <x:v>0</x:v>
      </x:c>
      <x:c r="N558" s="292">
        <x:f t="shared" si="365"/>
        <x:v>0</x:v>
      </x:c>
      <x:c r="O558" s="292">
        <x:f t="shared" si="365"/>
        <x:v>0</x:v>
      </x:c>
      <x:c r="P558" s="292">
        <x:f t="shared" si="365"/>
        <x:v>0</x:v>
      </x:c>
      <x:c r="Q558" s="292">
        <x:f t="shared" si="365"/>
        <x:v>0</x:v>
      </x:c>
      <x:c r="R558" s="292">
        <x:f t="shared" si="365"/>
        <x:v>0</x:v>
      </x:c>
      <x:c r="S558" s="292">
        <x:f t="shared" si="365"/>
        <x:v>2162649.9153</x:v>
      </x:c>
      <x:c r="T558" s="292">
        <x:f t="shared" si="365"/>
        <x:v>2162649.9153</x:v>
      </x:c>
      <x:c r="U558" s="292">
        <x:f t="shared" si="365"/>
        <x:v>2162649.9153</x:v>
      </x:c>
      <x:c r="V558" s="128">
        <x:f>SUM(J558:U558)</x:f>
        <x:v>6522618.4800000004</x:v>
      </x:c>
      <x:c r="W558" s="1061"/>
    </x:row>
    <x:row r="559" spans="1:23" ht="17.25" thickBot="1">
      <x:c r="A559" s="303" t="s">
        <x:v>186</x:v>
      </x:c>
      <x:c r="B559" s="304"/>
      <x:c r="C559" s="304"/>
      <x:c r="D559" s="304"/>
      <x:c r="E559" s="304"/>
      <x:c r="F559" s="304"/>
      <x:c r="G559" s="304"/>
      <x:c r="H559" s="304"/>
      <x:c r="I559" s="305"/>
      <x:c r="J559" s="306">
        <x:f>J483+J489+J503+J517+J535+J549+J531+J558</x:f>
        <x:v>71721958.129500002</x:v>
      </x:c>
      <x:c r="K559" s="306">
        <x:f>K483+K489+K503+K517+K535+K549+K531+K558</x:f>
        <x:v>89422523.444395825</x:v>
      </x:c>
      <x:c r="L559" s="306">
        <x:f t="shared" ref="L559:V559" si="366">L483+L489+L503+L517+L535+L549+L531+L558</x:f>
        <x:v>127209759.41395006</x:v>
      </x:c>
      <x:c r="M559" s="306">
        <x:f t="shared" si="366"/>
        <x:v>105993315.96591432</x:v>
      </x:c>
      <x:c r="N559" s="306">
        <x:f t="shared" si="366"/>
        <x:v>96644430.634785786</x:v>
      </x:c>
      <x:c r="O559" s="306">
        <x:f t="shared" si="366"/>
        <x:v>147941062.94762152</x:v>
      </x:c>
      <x:c r="P559" s="306">
        <x:f t="shared" si="366"/>
        <x:v>90434637.458314329</x:v>
      </x:c>
      <x:c r="Q559" s="306">
        <x:f t="shared" si="366"/>
        <x:v>134873131.47928578</x:v>
      </x:c>
      <x:c r="R559" s="306">
        <x:f t="shared" si="366"/>
        <x:v>121781241.6929858</x:v>
      </x:c>
      <x:c r="S559" s="306">
        <x:f t="shared" si="366"/>
        <x:v>194528036.276757</x:v>
      </x:c>
      <x:c r="T559" s="306">
        <x:f t="shared" si="366"/>
        <x:v>142320588.42287007</x:v>
      </x:c>
      <x:c r="U559" s="306">
        <x:f t="shared" si="366"/>
        <x:v>143391279.55434924</x:v>
      </x:c>
      <x:c r="V559" s="307">
        <x:f t="shared" si="366"/>
        <x:v>1466261965.4207299</x:v>
      </x:c>
      <x:c r="W559" s="1078"/>
    </x:row>
  </x:sheetData>
  <x:mergeCells count="71">
    <x:mergeCell ref="I3:I4"/>
    <x:mergeCell ref="J3:V3"/>
    <x:mergeCell ref="W3:W4"/>
    <x:mergeCell ref="B70:B77"/>
    <x:mergeCell ref="A81:A82"/>
    <x:mergeCell ref="B81:B82"/>
    <x:mergeCell ref="C81:E81"/>
    <x:mergeCell ref="F81:F82"/>
    <x:mergeCell ref="G81:G82"/>
    <x:mergeCell ref="H81:H82"/>
    <x:mergeCell ref="A3:A4"/>
    <x:mergeCell ref="B3:B4"/>
    <x:mergeCell ref="C3:E3"/>
    <x:mergeCell ref="F3:F4"/>
    <x:mergeCell ref="G3:G4"/>
    <x:mergeCell ref="H3:H4"/>
    <x:mergeCell ref="I81:I82"/>
    <x:mergeCell ref="J81:V81"/>
    <x:mergeCell ref="W81:W82"/>
    <x:mergeCell ref="B148:B155"/>
    <x:mergeCell ref="A158:A159"/>
    <x:mergeCell ref="B158:B159"/>
    <x:mergeCell ref="C158:E158"/>
    <x:mergeCell ref="F158:F159"/>
    <x:mergeCell ref="G158:G159"/>
    <x:mergeCell ref="H158:H159"/>
    <x:mergeCell ref="I158:I159"/>
    <x:mergeCell ref="J158:V158"/>
    <x:mergeCell ref="W158:W159"/>
    <x:mergeCell ref="B225:B232"/>
    <x:mergeCell ref="A235:A236"/>
    <x:mergeCell ref="B235:B236"/>
    <x:mergeCell ref="C235:E235"/>
    <x:mergeCell ref="F235:F236"/>
    <x:mergeCell ref="A322:A323"/>
    <x:mergeCell ref="B322:B323"/>
    <x:mergeCell ref="C322:E322"/>
    <x:mergeCell ref="F322:F323"/>
    <x:mergeCell ref="G322:G323"/>
    <x:mergeCell ref="I235:I236"/>
    <x:mergeCell ref="J235:V235"/>
    <x:mergeCell ref="W235:W236"/>
    <x:mergeCell ref="B309:B316"/>
    <x:mergeCell ref="A318:I318"/>
    <x:mergeCell ref="G235:G236"/>
    <x:mergeCell ref="H235:H236"/>
    <x:mergeCell ref="A399:A400"/>
    <x:mergeCell ref="B399:B400"/>
    <x:mergeCell ref="C399:E399"/>
    <x:mergeCell ref="F399:F400"/>
    <x:mergeCell ref="G399:G400"/>
    <x:mergeCell ref="A476:A477"/>
    <x:mergeCell ref="B476:B477"/>
    <x:mergeCell ref="C476:E476"/>
    <x:mergeCell ref="F476:F477"/>
    <x:mergeCell ref="G476:G477"/>
    <x:mergeCell ref="J476:V476"/>
    <x:mergeCell ref="W476:W477"/>
    <x:mergeCell ref="B550:B557"/>
    <x:mergeCell ref="I322:I323"/>
    <x:mergeCell ref="J322:V322"/>
    <x:mergeCell ref="W322:W323"/>
    <x:mergeCell ref="B389:B396"/>
    <x:mergeCell ref="H399:H400"/>
    <x:mergeCell ref="I399:I400"/>
    <x:mergeCell ref="J399:V399"/>
    <x:mergeCell ref="W399:W400"/>
    <x:mergeCell ref="B466:B473"/>
    <x:mergeCell ref="H476:H477"/>
    <x:mergeCell ref="I476:I477"/>
    <x:mergeCell ref="H322:H323"/>
  </x:mergeCells>
  <x:phoneticPr fontId="3" type="noConversion"/>
  <x:pageMargins left="0.7" right="0.7" top="0.75" bottom="0.75" header="0.3" footer="0.3"/>
  <x:pageSetup paperSize="9" orientation="portrait" r:id="rId1"/>
  <x:legacyDrawing r:id="rId2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28DB6CD-4DCA-436A-BE18-013222F167AF}" mc:Ignorable="x14ac xr xr2 xr3">
  <x:sheetPr codeName="Sheet5"/>
  <x:dimension ref="B1:AD60"/>
  <x:sheetViews>
    <x:sheetView topLeftCell="A49" zoomScale="85" zoomScaleNormal="85" workbookViewId="0">
      <x:selection activeCell="D56" sqref="D56:D59"/>
    </x:sheetView>
  </x:sheetViews>
  <x:sheetFormatPr defaultColWidth="8.75" defaultRowHeight="16.5"/>
  <x:cols>
    <x:col min="1" max="1" width="1.25" style="21" customWidth="1"/>
    <x:col min="2" max="2" width="32.75" style="21" customWidth="1"/>
    <x:col min="3" max="3" width="17.875" style="21" customWidth="1"/>
    <x:col min="4" max="4" width="11.375" style="21" customWidth="1"/>
    <x:col min="5" max="15" width="9.75" style="21" customWidth="1"/>
    <x:col min="16" max="16" width="10.5" style="21" bestFit="1" customWidth="1"/>
    <x:col min="17" max="17" width="9.5" style="21" customWidth="1"/>
    <x:col min="18" max="18" width="13.375" style="21" customWidth="1"/>
    <x:col min="19" max="19" width="7.75" style="21" customWidth="1"/>
    <x:col min="20" max="20" width="13.5" style="21" bestFit="1" customWidth="1"/>
    <x:col min="21" max="22" width="9.875" style="21" customWidth="1"/>
    <x:col min="23" max="27" width="7.75" style="21" customWidth="1"/>
    <x:col min="28" max="28" width="10.25" style="21" customWidth="1"/>
    <x:col min="29" max="29" width="12.75" style="21" bestFit="1" customWidth="1"/>
    <x:col min="30" max="30" width="31" style="21" customWidth="1"/>
    <x:col min="31" max="16384" width="8.75" style="21"/>
  </x:cols>
  <x:sheetData>
    <x:row r="1" spans="2:30" ht="31.5">
      <x:c r="B1" s="26" t="s">
        <x:v>975</x:v>
      </x:c>
      <x:c r="C1" s="26"/>
      <x:c r="D1" s="26"/>
    </x:row>
    <x:row r="2" spans="2:30" ht="2.4500000000000002" customHeight="1"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</x:row>
    <x:row r="3" spans="2:30" ht="7.9" customHeight="1"/>
    <x:row r="4" spans="2:30" ht="24" customHeight="1">
      <x:c r="B4" s="554" t="s">
        <x:v>763</x:v>
      </x:c>
      <x:c r="C4" s="554"/>
      <x:c r="D4" s="495" t="s">
        <x:v>169</x:v>
      </x:c>
      <x:c r="E4" s="495" t="s">
        <x:v>170</x:v>
      </x:c>
      <x:c r="F4" s="495" t="s">
        <x:v>171</x:v>
      </x:c>
      <x:c r="G4" s="495" t="s">
        <x:v>172</x:v>
      </x:c>
      <x:c r="H4" s="495" t="s">
        <x:v>173</x:v>
      </x:c>
      <x:c r="I4" s="495" t="s">
        <x:v>174</x:v>
      </x:c>
      <x:c r="J4" s="495" t="s">
        <x:v>175</x:v>
      </x:c>
      <x:c r="K4" s="495" t="s">
        <x:v>176</x:v>
      </x:c>
      <x:c r="L4" s="495" t="s">
        <x:v>177</x:v>
      </x:c>
      <x:c r="M4" s="495" t="s">
        <x:v>178</x:v>
      </x:c>
      <x:c r="N4" s="495" t="s">
        <x:v>179</x:v>
      </x:c>
      <x:c r="O4" s="495" t="s">
        <x:v>180</x:v>
      </x:c>
      <x:c r="P4" s="495" t="s">
        <x:v>207</x:v>
      </x:c>
      <x:c r="Q4" s="789" t="s">
        <x:v>1265</x:v>
      </x:c>
      <x:c r="R4" s="789" t="s">
        <x:v>1265</x:v>
      </x:c>
    </x:row>
    <x:row r="5" spans="2:30">
      <x:c r="B5" s="448" t="s">
        <x:v>1504</x:v>
      </x:c>
      <x:c r="C5" s="448" t="s">
        <x:v>764</x:v>
      </x:c>
      <x:c r="D5" s="783">
        <x:f>+D60</x:f>
        <x:v>121232</x:v>
      </x:c>
      <x:c r="E5" s="783">
        <x:f t="shared" ref="E5:O5" si="0">+E60</x:f>
        <x:v>121232</x:v>
      </x:c>
      <x:c r="F5" s="783">
        <x:f t="shared" si="0"/>
        <x:v>121232</x:v>
      </x:c>
      <x:c r="G5" s="783">
        <x:f t="shared" si="0"/>
        <x:v>121232</x:v>
      </x:c>
      <x:c r="H5" s="783">
        <x:f t="shared" si="0"/>
        <x:v>121232</x:v>
      </x:c>
      <x:c r="I5" s="783">
        <x:f t="shared" si="0"/>
        <x:v>121232</x:v>
      </x:c>
      <x:c r="J5" s="783">
        <x:f t="shared" si="0"/>
        <x:v>121232</x:v>
      </x:c>
      <x:c r="K5" s="783">
        <x:f t="shared" si="0"/>
        <x:v>121232</x:v>
      </x:c>
      <x:c r="L5" s="783">
        <x:f t="shared" si="0"/>
        <x:v>121232</x:v>
      </x:c>
      <x:c r="M5" s="783">
        <x:f t="shared" si="0"/>
        <x:v>121232</x:v>
      </x:c>
      <x:c r="N5" s="783">
        <x:f t="shared" si="0"/>
        <x:v>121232</x:v>
      </x:c>
      <x:c r="O5" s="783">
        <x:f t="shared" si="0"/>
        <x:v>121232</x:v>
      </x:c>
      <x:c r="P5" s="783">
        <x:f>SUM(D5:O5)</x:f>
        <x:v>1454784</x:v>
      </x:c>
      <x:c r="Q5" s="620"/>
      <x:c r="R5" s="620"/>
    </x:row>
    <x:row r="6" spans="2:30">
      <x:c r="B6" s="448" t="s">
        <x:v>974</x:v>
      </x:c>
      <x:c r="C6" s="448" t="s">
        <x:v>765</x:v>
      </x:c>
      <x:c r="D6" s="783">
        <x:v>35512.634299999998</x:v>
      </x:c>
      <x:c r="E6" s="783">
        <x:v>35512.634299999998</x:v>
      </x:c>
      <x:c r="F6" s="783">
        <x:v>35512.634299999998</x:v>
      </x:c>
      <x:c r="G6" s="783">
        <x:v>35512.634299999998</x:v>
      </x:c>
      <x:c r="H6" s="783">
        <x:v>35512.634299999998</x:v>
      </x:c>
      <x:c r="I6" s="783">
        <x:v>35512.634299999998</x:v>
      </x:c>
      <x:c r="J6" s="783">
        <x:v>35512.634299999998</x:v>
      </x:c>
      <x:c r="K6" s="783">
        <x:v>35512.634299999998</x:v>
      </x:c>
      <x:c r="L6" s="783">
        <x:v>35512.634299999998</x:v>
      </x:c>
      <x:c r="M6" s="783">
        <x:v>35512.634299999998</x:v>
      </x:c>
      <x:c r="N6" s="783">
        <x:v>35512.634299999998</x:v>
      </x:c>
      <x:c r="O6" s="783">
        <x:v>35512.634299999998</x:v>
      </x:c>
      <x:c r="P6" s="783">
        <x:f t="shared" ref="P6:P8" si="1">SUM(D6:O6)</x:f>
        <x:v>426151.61159999989</x:v>
      </x:c>
      <x:c r="Q6" s="620"/>
      <x:c r="R6" s="620"/>
    </x:row>
    <x:row r="7" spans="2:30">
      <x:c r="B7" s="448" t="s">
        <x:v>1503</x:v>
      </x:c>
      <x:c r="C7" s="448"/>
      <x:c r="D7" s="783">
        <x:v>6000</x:v>
      </x:c>
      <x:c r="E7" s="783" t="s">
        <x:v>287</x:v>
      </x:c>
      <x:c r="F7" s="783" t="s">
        <x:v>287</x:v>
      </x:c>
      <x:c r="G7" s="783">
        <x:v>6000</x:v>
      </x:c>
      <x:c r="H7" s="783" t="s">
        <x:v>287</x:v>
      </x:c>
      <x:c r="I7" s="783" t="s">
        <x:v>287</x:v>
      </x:c>
      <x:c r="J7" s="783">
        <x:v>6000</x:v>
      </x:c>
      <x:c r="K7" s="783" t="s">
        <x:v>287</x:v>
      </x:c>
      <x:c r="L7" s="783" t="s">
        <x:v>287</x:v>
      </x:c>
      <x:c r="M7" s="783">
        <x:v>6000</x:v>
      </x:c>
      <x:c r="N7" s="783" t="s">
        <x:v>287</x:v>
      </x:c>
      <x:c r="O7" s="783" t="s">
        <x:v>287</x:v>
      </x:c>
      <x:c r="P7" s="783">
        <x:f t="shared" si="1"/>
        <x:v>24000</x:v>
      </x:c>
      <x:c r="Q7" s="401" t="s">
        <x:v>875</x:v>
      </x:c>
      <x:c r="R7" s="620" t="s">
        <x:v>874</x:v>
      </x:c>
    </x:row>
    <x:row r="8" spans="2:30">
      <x:c r="B8" s="812" t="s">
        <x:v>1078</x:v>
      </x:c>
      <x:c r="C8" s="812"/>
      <x:c r="D8" s="571">
        <x:v>5000</x:v>
      </x:c>
      <x:c r="E8" s="571">
        <x:v>5000</x:v>
      </x:c>
      <x:c r="F8" s="571">
        <x:v>5000</x:v>
      </x:c>
      <x:c r="G8" s="571">
        <x:v>5000</x:v>
      </x:c>
      <x:c r="H8" s="571">
        <x:v>5000</x:v>
      </x:c>
      <x:c r="I8" s="571">
        <x:v>5000</x:v>
      </x:c>
      <x:c r="J8" s="571">
        <x:v>5000</x:v>
      </x:c>
      <x:c r="K8" s="571">
        <x:v>5000</x:v>
      </x:c>
      <x:c r="L8" s="571">
        <x:v>5000</x:v>
      </x:c>
      <x:c r="M8" s="571">
        <x:v>5000</x:v>
      </x:c>
      <x:c r="N8" s="571">
        <x:v>5000</x:v>
      </x:c>
      <x:c r="O8" s="571">
        <x:v>5000</x:v>
      </x:c>
      <x:c r="P8" s="783">
        <x:f t="shared" si="1"/>
        <x:v>60000</x:v>
      </x:c>
      <x:c r="Q8" s="423"/>
      <x:c r="R8" s="539"/>
    </x:row>
    <x:row r="9" spans="2:30">
      <x:c r="B9" s="448" t="s">
        <x:v>766</x:v>
      </x:c>
      <x:c r="C9" s="448" t="s">
        <x:v>475</x:v>
      </x:c>
      <x:c r="D9" s="783">
        <x:f t="shared" ref="D9:P9" si="2">SUM(D5:D7)</x:f>
        <x:v>162744.63430000001</x:v>
      </x:c>
      <x:c r="E9" s="783">
        <x:f t="shared" si="2"/>
        <x:v>156744.63430000001</x:v>
      </x:c>
      <x:c r="F9" s="783">
        <x:f t="shared" si="2"/>
        <x:v>156744.63430000001</x:v>
      </x:c>
      <x:c r="G9" s="783">
        <x:f t="shared" si="2"/>
        <x:v>162744.63430000001</x:v>
      </x:c>
      <x:c r="H9" s="783">
        <x:f t="shared" si="2"/>
        <x:v>156744.63430000001</x:v>
      </x:c>
      <x:c r="I9" s="783">
        <x:f t="shared" si="2"/>
        <x:v>156744.63430000001</x:v>
      </x:c>
      <x:c r="J9" s="783">
        <x:f t="shared" si="2"/>
        <x:v>162744.63430000001</x:v>
      </x:c>
      <x:c r="K9" s="783">
        <x:f t="shared" si="2"/>
        <x:v>156744.63430000001</x:v>
      </x:c>
      <x:c r="L9" s="783">
        <x:f t="shared" si="2"/>
        <x:v>156744.63430000001</x:v>
      </x:c>
      <x:c r="M9" s="783">
        <x:f t="shared" si="2"/>
        <x:v>162744.63430000001</x:v>
      </x:c>
      <x:c r="N9" s="783">
        <x:f t="shared" si="2"/>
        <x:v>156744.63430000001</x:v>
      </x:c>
      <x:c r="O9" s="783">
        <x:f t="shared" si="2"/>
        <x:v>156744.63430000001</x:v>
      </x:c>
      <x:c r="P9" s="783">
        <x:f t="shared" si="2"/>
        <x:v>1904935.6115999999</x:v>
      </x:c>
      <x:c r="Q9" s="620"/>
      <x:c r="R9" s="620"/>
    </x:row>
    <x:row r="12" spans="2:30" ht="31.5">
      <x:c r="B12" s="26" t="s">
        <x:v>545</x:v>
      </x:c>
      <x:c r="C12" s="26"/>
      <x:c r="D12" s="26"/>
    </x:row>
    <x:row r="13" spans="2:30" ht="2.4500000000000002" customHeight="1">
      <x:c r="B13" s="29"/>
      <x:c r="C13" s="29"/>
      <x:c r="D13" s="29"/>
      <x:c r="E13" s="29"/>
      <x:c r="F13" s="29"/>
      <x:c r="G13" s="29"/>
    </x:row>
    <x:row r="14" spans="2:30" ht="7.9" customHeight="1"/>
    <x:row r="15" spans="2:30" s="161" customFormat="1" ht="24" customHeight="1">
      <x:c r="B15" s="627">
        <x:v>2025</x:v>
      </x:c>
      <x:c r="C15" s="392"/>
      <x:c r="D15" s="392"/>
      <x:c r="E15" s="392"/>
      <x:c r="F15" s="392"/>
      <x:c r="G15" s="392"/>
      <x:c r="H15" s="392"/>
      <x:c r="I15" s="392"/>
      <x:c r="J15" s="392"/>
      <x:c r="K15" s="392"/>
      <x:c r="L15" s="392"/>
      <x:c r="M15" s="392"/>
      <x:c r="N15" s="392"/>
      <x:c r="O15" s="392"/>
      <x:c r="P15" s="392"/>
      <x:c r="Q15" s="392"/>
      <x:c r="R15" s="392"/>
      <x:c r="S15" s="392"/>
      <x:c r="T15" s="392"/>
      <x:c r="U15" s="392"/>
      <x:c r="V15" s="392"/>
      <x:c r="W15" s="392"/>
      <x:c r="X15" s="392"/>
      <x:c r="Y15" s="392"/>
      <x:c r="Z15" s="392"/>
      <x:c r="AA15" s="392"/>
      <x:c r="AB15" s="392"/>
      <x:c r="AC15" s="392"/>
    </x:row>
    <x:row r="16" spans="2:30" s="161" customFormat="1" ht="24" customHeight="1">
      <x:c r="B16" s="1262" t="s">
        <x:v>273</x:v>
      </x:c>
      <x:c r="C16" s="1262" t="s">
        <x:v>272</x:v>
      </x:c>
      <x:c r="D16" s="1263" t="s">
        <x:v>547</x:v>
      </x:c>
      <x:c r="E16" s="582" t="s">
        <x:v>169</x:v>
      </x:c>
      <x:c r="F16" s="582" t="s">
        <x:v>169</x:v>
      </x:c>
      <x:c r="G16" s="582" t="s">
        <x:v>170</x:v>
      </x:c>
      <x:c r="H16" s="582" t="s">
        <x:v>170</x:v>
      </x:c>
      <x:c r="I16" s="582" t="s">
        <x:v>171</x:v>
      </x:c>
      <x:c r="J16" s="582" t="s">
        <x:v>171</x:v>
      </x:c>
      <x:c r="K16" s="582" t="s">
        <x:v>172</x:v>
      </x:c>
      <x:c r="L16" s="582" t="s">
        <x:v>172</x:v>
      </x:c>
      <x:c r="M16" s="582" t="s">
        <x:v>173</x:v>
      </x:c>
      <x:c r="N16" s="582" t="s">
        <x:v>173</x:v>
      </x:c>
      <x:c r="O16" s="582" t="s">
        <x:v>174</x:v>
      </x:c>
      <x:c r="P16" s="582" t="s">
        <x:v>174</x:v>
      </x:c>
      <x:c r="Q16" s="582" t="s">
        <x:v>518</x:v>
      </x:c>
      <x:c r="R16" s="582" t="s">
        <x:v>518</x:v>
      </x:c>
      <x:c r="S16" s="582" t="s">
        <x:v>548</x:v>
      </x:c>
      <x:c r="T16" s="582" t="s">
        <x:v>176</x:v>
      </x:c>
      <x:c r="U16" s="582" t="s">
        <x:v>233</x:v>
      </x:c>
      <x:c r="V16" s="582" t="s">
        <x:v>233</x:v>
      </x:c>
      <x:c r="W16" s="582" t="s">
        <x:v>178</x:v>
      </x:c>
      <x:c r="X16" s="582" t="s">
        <x:v>178</x:v>
      </x:c>
      <x:c r="Y16" s="582" t="s">
        <x:v>179</x:v>
      </x:c>
      <x:c r="Z16" s="582" t="s">
        <x:v>179</x:v>
      </x:c>
      <x:c r="AA16" s="582" t="s">
        <x:v>180</x:v>
      </x:c>
      <x:c r="AB16" s="582" t="s">
        <x:v>180</x:v>
      </x:c>
      <x:c r="AC16" s="1264" t="s">
        <x:v>181</x:v>
      </x:c>
      <x:c r="AD16" s="161" t="s">
        <x:v>562</x:v>
      </x:c>
    </x:row>
    <x:row r="17" spans="2:30" s="161" customFormat="1" ht="24" customHeight="1">
      <x:c r="B17" s="1262"/>
      <x:c r="C17" s="1262"/>
      <x:c r="D17" s="1263"/>
      <x:c r="E17" s="586" t="s">
        <x:v>163</x:v>
      </x:c>
      <x:c r="F17" s="626" t="s">
        <x:v>167</x:v>
      </x:c>
      <x:c r="G17" s="586" t="s">
        <x:v>163</x:v>
      </x:c>
      <x:c r="H17" s="626" t="s">
        <x:v>167</x:v>
      </x:c>
      <x:c r="I17" s="586" t="s">
        <x:v>163</x:v>
      </x:c>
      <x:c r="J17" s="626" t="s">
        <x:v>167</x:v>
      </x:c>
      <x:c r="K17" s="586" t="s">
        <x:v>163</x:v>
      </x:c>
      <x:c r="L17" s="626" t="s">
        <x:v>167</x:v>
      </x:c>
      <x:c r="M17" s="586" t="s">
        <x:v>163</x:v>
      </x:c>
      <x:c r="N17" s="626" t="s">
        <x:v>167</x:v>
      </x:c>
      <x:c r="O17" s="586" t="s">
        <x:v>163</x:v>
      </x:c>
      <x:c r="P17" s="626" t="s">
        <x:v>167</x:v>
      </x:c>
      <x:c r="Q17" s="586" t="s">
        <x:v>163</x:v>
      </x:c>
      <x:c r="R17" s="626" t="s">
        <x:v>167</x:v>
      </x:c>
      <x:c r="S17" s="586" t="s">
        <x:v>163</x:v>
      </x:c>
      <x:c r="T17" s="626" t="s">
        <x:v>167</x:v>
      </x:c>
      <x:c r="U17" s="586" t="s">
        <x:v>163</x:v>
      </x:c>
      <x:c r="V17" s="626" t="s">
        <x:v>167</x:v>
      </x:c>
      <x:c r="W17" s="586" t="s">
        <x:v>163</x:v>
      </x:c>
      <x:c r="X17" s="626" t="s">
        <x:v>167</x:v>
      </x:c>
      <x:c r="Y17" s="586" t="s">
        <x:v>163</x:v>
      </x:c>
      <x:c r="Z17" s="626" t="s">
        <x:v>167</x:v>
      </x:c>
      <x:c r="AA17" s="586" t="s">
        <x:v>163</x:v>
      </x:c>
      <x:c r="AB17" s="626" t="s">
        <x:v>167</x:v>
      </x:c>
      <x:c r="AC17" s="1264"/>
      <x:c r="AD17" s="161" t="s">
        <x:v>563</x:v>
      </x:c>
    </x:row>
    <x:row r="18" spans="2:30" s="161" customFormat="1" ht="24" customHeight="1">
      <x:c r="B18" s="1262"/>
      <x:c r="C18" s="1262"/>
      <x:c r="D18" s="1263"/>
      <x:c r="E18" s="1265">
        <x:v>35.520000000000003</x:v>
      </x:c>
      <x:c r="F18" s="1265"/>
      <x:c r="G18" s="1265">
        <x:v>36.17</x:v>
      </x:c>
      <x:c r="H18" s="1265"/>
      <x:c r="I18" s="1265">
        <x:v>37.090000000000003</x:v>
      </x:c>
      <x:c r="J18" s="1265"/>
      <x:c r="K18" s="1265">
        <x:v>38.130000000000003</x:v>
      </x:c>
      <x:c r="L18" s="1265"/>
      <x:c r="M18" s="1265">
        <x:v>38.83</x:v>
      </x:c>
      <x:c r="N18" s="1265"/>
      <x:c r="O18" s="1265">
        <x:v>39.479999999999997</x:v>
      </x:c>
      <x:c r="P18" s="1265"/>
      <x:c r="Q18" s="1265">
        <x:v>40.24</x:v>
      </x:c>
      <x:c r="R18" s="1265"/>
      <x:c r="S18" s="1267">
        <x:v>40.86</x:v>
      </x:c>
      <x:c r="T18" s="1267"/>
      <x:c r="U18" s="1267">
        <x:v>41.35</x:v>
      </x:c>
      <x:c r="V18" s="1267"/>
      <x:c r="W18" s="1268">
        <x:v>41.85</x:v>
      </x:c>
      <x:c r="X18" s="1268"/>
      <x:c r="Y18" s="1268">
        <x:v>42.18</x:v>
      </x:c>
      <x:c r="Z18" s="1268"/>
      <x:c r="AA18" s="1268"/>
      <x:c r="AB18" s="1268"/>
      <x:c r="AC18" s="454"/>
    </x:row>
    <x:row r="19" spans="2:30" s="161" customFormat="1" ht="24" customHeight="1">
      <x:c r="B19" s="1262" t="s">
        <x:v>549</x:v>
      </x:c>
      <x:c r="C19" s="586" t="s">
        <x:v>550</x:v>
      </x:c>
      <x:c r="D19" s="626" t="s">
        <x:v>551</x:v>
      </x:c>
      <x:c r="E19" s="395">
        <x:v>653.22269144144138</x:v>
      </x:c>
      <x:c r="F19" s="815">
        <x:v>23202.47</x:v>
      </x:c>
      <x:c r="G19" s="395">
        <x:v>641.48382637544933</x:v>
      </x:c>
      <x:c r="H19" s="815">
        <x:v>23202.47</x:v>
      </x:c>
      <x:c r="I19" s="395">
        <x:v>625.57212186573202</x:v>
      </x:c>
      <x:c r="J19" s="815">
        <x:v>23202.47</x:v>
      </x:c>
      <x:c r="K19" s="395">
        <x:v>608.50957251507998</x:v>
      </x:c>
      <x:c r="L19" s="815">
        <x:v>23202.47</x:v>
      </x:c>
      <x:c r="M19" s="395">
        <x:v>597.53978882307501</x:v>
      </x:c>
      <x:c r="N19" s="815">
        <x:v>23202.47</x:v>
      </x:c>
      <x:c r="O19" s="395">
        <x:v>587.70187436676804</x:v>
      </x:c>
      <x:c r="P19" s="815">
        <x:v>23202.47</x:v>
      </x:c>
      <x:c r="Q19" s="395">
        <x:v>576.60213717693841</x:v>
      </x:c>
      <x:c r="R19" s="815">
        <x:v>23202.47</x:v>
      </x:c>
      <x:c r="S19" s="395">
        <x:v>567.85291238374941</x:v>
      </x:c>
      <x:c r="T19" s="815">
        <x:v>23202.47</x:v>
      </x:c>
      <x:c r="U19" s="395">
        <x:v>565.34921402660223</x:v>
      </x:c>
      <x:c r="V19" s="815">
        <x:v>23202.47</x:v>
      </x:c>
      <x:c r="W19" s="395">
        <x:v>562.76965352449236</x:v>
      </x:c>
      <x:c r="X19" s="815">
        <x:v>23202.47</x:v>
      </x:c>
      <x:c r="Y19" s="395">
        <x:v>562.50900900900911</x:v>
      </x:c>
      <x:c r="Z19" s="815">
        <x:v>23202.47</x:v>
      </x:c>
      <x:c r="AA19" s="395">
        <x:v>562.50900900900911</x:v>
      </x:c>
      <x:c r="AB19" s="815">
        <x:v>23202.47</x:v>
      </x:c>
      <x:c r="AC19" s="683">
        <x:f t="shared" ref="AC19:AC25" si="3">SUM(F19,H19,J19,L19,N19,P19,R19,T19,V19,X19,Z19,AB19)</x:f>
        <x:v>278429.64</x:v>
      </x:c>
    </x:row>
    <x:row r="20" spans="2:30" s="161" customFormat="1" ht="24" customHeight="1">
      <x:c r="B20" s="1262"/>
      <x:c r="C20" s="4" t="s">
        <x:v>552</x:v>
      </x:c>
      <x:c r="D20" s="626" t="s">
        <x:v>551</x:v>
      </x:c>
      <x:c r="E20" s="395"/>
      <x:c r="F20" s="815">
        <x:v>6800.79</x:v>
      </x:c>
      <x:c r="G20" s="395"/>
      <x:c r="H20" s="815">
        <x:v>6800.79</x:v>
      </x:c>
      <x:c r="I20" s="395"/>
      <x:c r="J20" s="815">
        <x:v>6800.79</x:v>
      </x:c>
      <x:c r="K20" s="395"/>
      <x:c r="L20" s="815">
        <x:v>6800.79</x:v>
      </x:c>
      <x:c r="M20" s="395"/>
      <x:c r="N20" s="815">
        <x:v>6800.79</x:v>
      </x:c>
      <x:c r="O20" s="395"/>
      <x:c r="P20" s="815">
        <x:v>6800.79</x:v>
      </x:c>
      <x:c r="Q20" s="395"/>
      <x:c r="R20" s="815">
        <x:v>6800.79</x:v>
      </x:c>
      <x:c r="S20" s="395"/>
      <x:c r="T20" s="815">
        <x:v>6800.79</x:v>
      </x:c>
      <x:c r="U20" s="395">
        <x:v>164.46892382103991</x:v>
      </x:c>
      <x:c r="V20" s="815">
        <x:v>6800.79</x:v>
      </x:c>
      <x:c r="W20" s="650"/>
      <x:c r="X20" s="815">
        <x:v>6800.79</x:v>
      </x:c>
      <x:c r="Y20" s="650"/>
      <x:c r="Z20" s="815">
        <x:v>6800.79</x:v>
      </x:c>
      <x:c r="AA20" s="650"/>
      <x:c r="AB20" s="815">
        <x:v>6800.79</x:v>
      </x:c>
      <x:c r="AC20" s="683">
        <x:f t="shared" si="3"/>
        <x:v>81609.479999999981</x:v>
      </x:c>
    </x:row>
    <x:row r="21" spans="2:30" s="161" customFormat="1" ht="24" customHeight="1">
      <x:c r="B21" s="1262" t="s">
        <x:v>546</x:v>
      </x:c>
      <x:c r="C21" s="4" t="s">
        <x:v>555</x:v>
      </x:c>
      <x:c r="D21" s="626" t="s">
        <x:v>554</x:v>
      </x:c>
      <x:c r="E21" s="395"/>
      <x:c r="F21" s="816"/>
      <x:c r="G21" s="395"/>
      <x:c r="H21" s="818"/>
      <x:c r="I21" s="395"/>
      <x:c r="J21" s="818"/>
      <x:c r="K21" s="395"/>
      <x:c r="L21" s="818"/>
      <x:c r="M21" s="395"/>
      <x:c r="N21" s="816"/>
      <x:c r="O21" s="395"/>
      <x:c r="P21" s="816"/>
      <x:c r="Q21" s="395"/>
      <x:c r="R21" s="816"/>
      <x:c r="S21" s="395"/>
      <x:c r="T21" s="825"/>
      <x:c r="U21" s="1272">
        <x:v>1100</x:v>
      </x:c>
      <x:c r="V21" s="1269">
        <x:v>54710</x:v>
      </x:c>
      <x:c r="W21" s="650"/>
      <x:c r="X21" s="825"/>
      <x:c r="Y21" s="650"/>
      <x:c r="Z21" s="825"/>
      <x:c r="AA21" s="650"/>
      <x:c r="AB21" s="825"/>
      <x:c r="AC21" s="683">
        <x:f t="shared" si="3"/>
        <x:v>54710</x:v>
      </x:c>
    </x:row>
    <x:row r="22" spans="2:30" s="161" customFormat="1" ht="24" customHeight="1">
      <x:c r="B22" s="1262"/>
      <x:c r="C22" s="4" t="s">
        <x:v>561</x:v>
      </x:c>
      <x:c r="D22" s="626" t="s">
        <x:v>554</x:v>
      </x:c>
      <x:c r="E22" s="395"/>
      <x:c r="F22" s="816"/>
      <x:c r="G22" s="395"/>
      <x:c r="H22" s="816"/>
      <x:c r="I22" s="395"/>
      <x:c r="J22" s="816"/>
      <x:c r="K22" s="395"/>
      <x:c r="L22" s="816"/>
      <x:c r="M22" s="395"/>
      <x:c r="N22" s="820"/>
      <x:c r="O22" s="395"/>
      <x:c r="P22" s="815"/>
      <x:c r="Q22" s="395"/>
      <x:c r="R22" s="815"/>
      <x:c r="S22" s="395"/>
      <x:c r="T22" s="815"/>
      <x:c r="U22" s="1273"/>
      <x:c r="V22" s="1270"/>
      <x:c r="W22" s="395"/>
      <x:c r="X22" s="815"/>
      <x:c r="Y22" s="395"/>
      <x:c r="Z22" s="815"/>
      <x:c r="AA22" s="395"/>
      <x:c r="AB22" s="815"/>
      <x:c r="AC22" s="683">
        <x:f t="shared" si="3"/>
        <x:v>0</x:v>
      </x:c>
    </x:row>
    <x:row r="23" spans="2:30" s="161" customFormat="1" ht="24" customHeight="1">
      <x:c r="B23" s="1262"/>
      <x:c r="C23" s="4" t="s">
        <x:v>556</x:v>
      </x:c>
      <x:c r="D23" s="626" t="s">
        <x:v>551</x:v>
      </x:c>
      <x:c r="E23" s="395"/>
      <x:c r="F23" s="816"/>
      <x:c r="G23" s="395"/>
      <x:c r="H23" s="816"/>
      <x:c r="I23" s="395"/>
      <x:c r="J23" s="816"/>
      <x:c r="K23" s="395"/>
      <x:c r="L23" s="816"/>
      <x:c r="M23" s="395"/>
      <x:c r="N23" s="816"/>
      <x:c r="O23" s="395">
        <x:v>577.50759878419456</x:v>
      </x:c>
      <x:c r="P23" s="815">
        <x:v>22800</x:v>
      </x:c>
      <x:c r="Q23" s="395">
        <x:v>566.60039761431403</x:v>
      </x:c>
      <x:c r="R23" s="815">
        <x:v>22800</x:v>
      </x:c>
      <x:c r="S23" s="395">
        <x:v>558.00293685756242</x:v>
      </x:c>
      <x:c r="T23" s="815">
        <x:v>22800</x:v>
      </x:c>
      <x:c r="U23" s="395">
        <x:v>551.39056831922608</x:v>
      </x:c>
      <x:c r="V23" s="815">
        <x:v>22800</x:v>
      </x:c>
      <x:c r="W23" s="395">
        <x:v>544.80286738351253</x:v>
      </x:c>
      <x:c r="X23" s="815">
        <x:v>22800</x:v>
      </x:c>
      <x:c r="Y23" s="395">
        <x:v>540.54054054054052</x:v>
      </x:c>
      <x:c r="Z23" s="815">
        <x:v>22800</x:v>
      </x:c>
      <x:c r="AA23" s="395">
        <x:v>540.54054054054052</x:v>
      </x:c>
      <x:c r="AB23" s="815">
        <x:v>22800</x:v>
      </x:c>
      <x:c r="AC23" s="683">
        <x:f>SUM(F23,H23,J23,L23,N23,P23,R23,T23,V23,X23,Z23,AB23)</x:f>
        <x:v>159600</x:v>
      </x:c>
    </x:row>
    <x:row r="24" spans="2:30" s="161" customFormat="1" ht="24" customHeight="1">
      <x:c r="B24" s="1262" t="s">
        <x:v>557</x:v>
      </x:c>
      <x:c r="C24" s="4" t="s">
        <x:v>558</x:v>
      </x:c>
      <x:c r="D24" s="626" t="s">
        <x:v>554</x:v>
      </x:c>
      <x:c r="E24" s="395"/>
      <x:c r="F24" s="816"/>
      <x:c r="G24" s="395"/>
      <x:c r="H24" s="816"/>
      <x:c r="I24" s="395"/>
      <x:c r="J24" s="816"/>
      <x:c r="K24" s="395"/>
      <x:c r="L24" s="816"/>
      <x:c r="M24" s="514">
        <x:v>3862.9925315477726</x:v>
      </x:c>
      <x:c r="N24" s="821">
        <x:v>150000</x:v>
      </x:c>
      <x:c r="O24" s="395"/>
      <x:c r="P24" s="816"/>
      <x:c r="Q24" s="395"/>
      <x:c r="R24" s="816"/>
      <x:c r="S24" s="395"/>
      <x:c r="T24" s="816"/>
      <x:c r="U24" s="395"/>
      <x:c r="V24" s="816"/>
      <x:c r="W24" s="395">
        <x:v>3022.974607013301</x:v>
      </x:c>
      <x:c r="X24" s="815">
        <x:v>125000</x:v>
      </x:c>
      <x:c r="Y24" s="395"/>
      <x:c r="Z24" s="816"/>
      <x:c r="AA24" s="395"/>
      <x:c r="AB24" s="816"/>
      <x:c r="AC24" s="683">
        <x:f t="shared" si="3"/>
        <x:v>275000</x:v>
      </x:c>
    </x:row>
    <x:row r="25" spans="2:30" s="161" customFormat="1" ht="24" customHeight="1">
      <x:c r="B25" s="1262"/>
      <x:c r="C25" s="4" t="s">
        <x:v>559</x:v>
      </x:c>
      <x:c r="D25" s="626" t="s">
        <x:v>554</x:v>
      </x:c>
      <x:c r="E25" s="395"/>
      <x:c r="F25" s="816"/>
      <x:c r="G25" s="395"/>
      <x:c r="H25" s="816"/>
      <x:c r="I25" s="395"/>
      <x:c r="J25" s="816"/>
      <x:c r="K25" s="395"/>
      <x:c r="L25" s="816"/>
      <x:c r="M25" s="544"/>
      <x:c r="N25" s="822"/>
      <x:c r="O25" s="395"/>
      <x:c r="P25" s="816"/>
      <x:c r="Q25" s="395"/>
      <x:c r="R25" s="816"/>
      <x:c r="S25" s="395"/>
      <x:c r="T25" s="816"/>
      <x:c r="U25" s="544">
        <x:v>725.51390568319221</x:v>
      </x:c>
      <x:c r="V25" s="826">
        <x:v>30000</x:v>
      </x:c>
      <x:c r="W25" s="544">
        <x:v>716.84587813620067</x:v>
      </x:c>
      <x:c r="X25" s="826">
        <x:v>30000</x:v>
      </x:c>
      <x:c r="Y25" s="544">
        <x:v>711.23755334281645</x:v>
      </x:c>
      <x:c r="Z25" s="826">
        <x:v>30000</x:v>
      </x:c>
      <x:c r="AA25" s="544"/>
      <x:c r="AB25" s="826">
        <x:v>30000</x:v>
      </x:c>
      <x:c r="AC25" s="683">
        <x:f t="shared" si="3"/>
        <x:v>120000</x:v>
      </x:c>
    </x:row>
    <x:row r="26" spans="2:30" s="161" customFormat="1" ht="24" customHeight="1">
      <x:c r="B26" s="1262"/>
      <x:c r="C26" s="4" t="s">
        <x:v>560</x:v>
      </x:c>
      <x:c r="D26" s="626" t="s">
        <x:v>554</x:v>
      </x:c>
      <x:c r="E26" s="395"/>
      <x:c r="F26" s="816"/>
      <x:c r="G26" s="395"/>
      <x:c r="H26" s="816"/>
      <x:c r="I26" s="395"/>
      <x:c r="J26" s="816"/>
      <x:c r="K26" s="395"/>
      <x:c r="L26" s="816"/>
      <x:c r="M26" s="544">
        <x:v>2034.5093999484934</x:v>
      </x:c>
      <x:c r="N26" s="822">
        <x:v>79000</x:v>
      </x:c>
      <x:c r="O26" s="395"/>
      <x:c r="P26" s="816"/>
      <x:c r="Q26" s="395"/>
      <x:c r="R26" s="818"/>
      <x:c r="S26" s="395"/>
      <x:c r="T26" s="818"/>
      <x:c r="U26" s="395"/>
      <x:c r="V26" s="827"/>
      <x:c r="W26" s="395"/>
      <x:c r="X26" s="827"/>
      <x:c r="Y26" s="395"/>
      <x:c r="Z26" s="827"/>
      <x:c r="AA26" s="395"/>
      <x:c r="AB26" s="827"/>
      <x:c r="AC26" s="683">
        <x:f>SUM(F26,H26,J26,L26,N26,P26,R26,T26,V26,X26,Z26,AB26)</x:f>
        <x:v>79000</x:v>
      </x:c>
    </x:row>
    <x:row r="27" spans="2:30" s="161" customFormat="1" ht="24" customHeight="1">
      <x:c r="B27" s="461" t="s">
        <x:v>1170</x:v>
      </x:c>
      <x:c r="C27" s="4"/>
      <x:c r="D27" s="626" t="s">
        <x:v>554</x:v>
      </x:c>
      <x:c r="E27" s="636"/>
      <x:c r="F27" s="817"/>
      <x:c r="G27" s="636"/>
      <x:c r="H27" s="819"/>
      <x:c r="I27" s="636"/>
      <x:c r="J27" s="819"/>
      <x:c r="K27" s="636"/>
      <x:c r="L27" s="819"/>
      <x:c r="M27" s="516"/>
      <x:c r="N27" s="823"/>
      <x:c r="O27" s="636"/>
      <x:c r="P27" s="819"/>
      <x:c r="Q27" s="636"/>
      <x:c r="R27" s="824"/>
      <x:c r="S27" s="636"/>
      <x:c r="T27" s="824"/>
      <x:c r="U27" s="636"/>
      <x:c r="V27" s="828"/>
      <x:c r="W27" s="636"/>
      <x:c r="X27" s="828"/>
      <x:c r="Y27" s="636"/>
      <x:c r="Z27" s="828"/>
      <x:c r="AA27" s="636"/>
      <x:c r="AB27" s="828">
        <x:v>26006</x:v>
      </x:c>
      <x:c r="AC27" s="683">
        <x:f>AB27</x:f>
        <x:v>26006</x:v>
      </x:c>
    </x:row>
    <x:row r="28" spans="2:30" s="161" customFormat="1" ht="24" customHeight="1">
      <x:c r="AC28" s="317">
        <x:f>SUM(AC19:AC27)</x:f>
        <x:v>1074355.1200000001</x:v>
      </x:c>
    </x:row>
    <x:row r="29" spans="2:30" s="161" customFormat="1" ht="24" customHeight="1">
      <x:c r="B29" s="459">
        <x:v>2026</x:v>
      </x:c>
      <x:c r="C29" s="392"/>
      <x:c r="D29" s="392"/>
      <x:c r="E29" s="392"/>
      <x:c r="F29" s="392"/>
      <x:c r="G29" s="392"/>
      <x:c r="H29" s="392"/>
      <x:c r="I29" s="392"/>
      <x:c r="J29" s="392"/>
      <x:c r="K29" s="392"/>
      <x:c r="L29" s="392"/>
      <x:c r="M29" s="392"/>
      <x:c r="N29" s="392"/>
      <x:c r="O29" s="392"/>
      <x:c r="P29" s="392"/>
      <x:c r="Q29" s="392"/>
      <x:c r="R29" s="392"/>
      <x:c r="S29" s="392"/>
      <x:c r="T29" s="392"/>
      <x:c r="U29" s="392"/>
      <x:c r="V29" s="392"/>
      <x:c r="W29" s="392"/>
      <x:c r="X29" s="392"/>
      <x:c r="Y29" s="392"/>
      <x:c r="Z29" s="392"/>
      <x:c r="AA29" s="392"/>
      <x:c r="AB29" s="392"/>
      <x:c r="AC29" s="392"/>
    </x:row>
    <x:row r="30" spans="2:30" s="161" customFormat="1" ht="24" customHeight="1">
      <x:c r="B30" s="1262" t="s">
        <x:v>273</x:v>
      </x:c>
      <x:c r="C30" s="1262" t="s">
        <x:v>272</x:v>
      </x:c>
      <x:c r="D30" s="1263" t="s">
        <x:v>547</x:v>
      </x:c>
      <x:c r="E30" s="582" t="s">
        <x:v>169</x:v>
      </x:c>
      <x:c r="F30" s="582" t="s">
        <x:v>169</x:v>
      </x:c>
      <x:c r="G30" s="582" t="s">
        <x:v>170</x:v>
      </x:c>
      <x:c r="H30" s="582" t="s">
        <x:v>170</x:v>
      </x:c>
      <x:c r="I30" s="582" t="s">
        <x:v>171</x:v>
      </x:c>
      <x:c r="J30" s="582" t="s">
        <x:v>171</x:v>
      </x:c>
      <x:c r="K30" s="582" t="s">
        <x:v>172</x:v>
      </x:c>
      <x:c r="L30" s="582" t="s">
        <x:v>172</x:v>
      </x:c>
      <x:c r="M30" s="582" t="s">
        <x:v>173</x:v>
      </x:c>
      <x:c r="N30" s="582" t="s">
        <x:v>173</x:v>
      </x:c>
      <x:c r="O30" s="582" t="s">
        <x:v>174</x:v>
      </x:c>
      <x:c r="P30" s="582" t="s">
        <x:v>174</x:v>
      </x:c>
      <x:c r="Q30" s="582" t="s">
        <x:v>518</x:v>
      </x:c>
      <x:c r="R30" s="582" t="s">
        <x:v>518</x:v>
      </x:c>
      <x:c r="S30" s="582" t="s">
        <x:v>548</x:v>
      </x:c>
      <x:c r="T30" s="582" t="s">
        <x:v>176</x:v>
      </x:c>
      <x:c r="U30" s="582" t="s">
        <x:v>233</x:v>
      </x:c>
      <x:c r="V30" s="582" t="s">
        <x:v>233</x:v>
      </x:c>
      <x:c r="W30" s="582" t="s">
        <x:v>178</x:v>
      </x:c>
      <x:c r="X30" s="582" t="s">
        <x:v>178</x:v>
      </x:c>
      <x:c r="Y30" s="582" t="s">
        <x:v>179</x:v>
      </x:c>
      <x:c r="Z30" s="582" t="s">
        <x:v>179</x:v>
      </x:c>
      <x:c r="AA30" s="582" t="s">
        <x:v>180</x:v>
      </x:c>
      <x:c r="AB30" s="582" t="s">
        <x:v>180</x:v>
      </x:c>
      <x:c r="AC30" s="1264" t="s">
        <x:v>181</x:v>
      </x:c>
    </x:row>
    <x:row r="31" spans="2:30" s="161" customFormat="1" ht="24" customHeight="1">
      <x:c r="B31" s="1262"/>
      <x:c r="C31" s="1262"/>
      <x:c r="D31" s="1263"/>
      <x:c r="E31" s="586" t="s">
        <x:v>163</x:v>
      </x:c>
      <x:c r="F31" s="586" t="s">
        <x:v>167</x:v>
      </x:c>
      <x:c r="G31" s="586" t="s">
        <x:v>163</x:v>
      </x:c>
      <x:c r="H31" s="586" t="s">
        <x:v>167</x:v>
      </x:c>
      <x:c r="I31" s="586" t="s">
        <x:v>163</x:v>
      </x:c>
      <x:c r="J31" s="586" t="s">
        <x:v>167</x:v>
      </x:c>
      <x:c r="K31" s="586" t="s">
        <x:v>163</x:v>
      </x:c>
      <x:c r="L31" s="586" t="s">
        <x:v>167</x:v>
      </x:c>
      <x:c r="M31" s="586" t="s">
        <x:v>163</x:v>
      </x:c>
      <x:c r="N31" s="586" t="s">
        <x:v>167</x:v>
      </x:c>
      <x:c r="O31" s="586" t="s">
        <x:v>163</x:v>
      </x:c>
      <x:c r="P31" s="586" t="s">
        <x:v>167</x:v>
      </x:c>
      <x:c r="Q31" s="586" t="s">
        <x:v>163</x:v>
      </x:c>
      <x:c r="R31" s="586" t="s">
        <x:v>167</x:v>
      </x:c>
      <x:c r="S31" s="586" t="s">
        <x:v>163</x:v>
      </x:c>
      <x:c r="T31" s="586" t="s">
        <x:v>167</x:v>
      </x:c>
      <x:c r="U31" s="586" t="s">
        <x:v>163</x:v>
      </x:c>
      <x:c r="V31" s="586" t="s">
        <x:v>167</x:v>
      </x:c>
      <x:c r="W31" s="586" t="s">
        <x:v>163</x:v>
      </x:c>
      <x:c r="X31" s="586" t="s">
        <x:v>167</x:v>
      </x:c>
      <x:c r="Y31" s="586" t="s">
        <x:v>163</x:v>
      </x:c>
      <x:c r="Z31" s="586" t="s">
        <x:v>167</x:v>
      </x:c>
      <x:c r="AA31" s="586" t="s">
        <x:v>163</x:v>
      </x:c>
      <x:c r="AB31" s="586" t="s">
        <x:v>167</x:v>
      </x:c>
      <x:c r="AC31" s="1264"/>
    </x:row>
    <x:row r="32" spans="2:30" s="161" customFormat="1" ht="24" customHeight="1">
      <x:c r="B32" s="1262"/>
      <x:c r="C32" s="1262"/>
      <x:c r="D32" s="1263"/>
      <x:c r="E32" s="1266"/>
      <x:c r="F32" s="1266"/>
      <x:c r="G32" s="1266"/>
      <x:c r="H32" s="1266"/>
      <x:c r="I32" s="1266"/>
      <x:c r="J32" s="1266"/>
      <x:c r="K32" s="1266"/>
      <x:c r="L32" s="1266"/>
      <x:c r="M32" s="1266"/>
      <x:c r="N32" s="1266"/>
      <x:c r="O32" s="1266"/>
      <x:c r="P32" s="1266"/>
      <x:c r="Q32" s="1266"/>
      <x:c r="R32" s="1266"/>
      <x:c r="S32" s="1203"/>
      <x:c r="T32" s="1203"/>
      <x:c r="U32" s="1203"/>
      <x:c r="V32" s="1203"/>
      <x:c r="W32" s="1271"/>
      <x:c r="X32" s="1271"/>
      <x:c r="Y32" s="1271"/>
      <x:c r="Z32" s="1271"/>
      <x:c r="AA32" s="1271"/>
      <x:c r="AB32" s="1271"/>
      <x:c r="AC32" s="454"/>
    </x:row>
    <x:row r="33" spans="2:30" s="161" customFormat="1" ht="24" customHeight="1">
      <x:c r="B33" s="1262" t="s">
        <x:v>549</x:v>
      </x:c>
      <x:c r="C33" s="586" t="s">
        <x:v>550</x:v>
      </x:c>
      <x:c r="D33" s="626" t="s">
        <x:v>551</x:v>
      </x:c>
      <x:c r="E33" s="395"/>
      <x:c r="F33" s="815">
        <x:f>23202.47*1.3</x:f>
        <x:v>30163.211000000003</x:v>
      </x:c>
      <x:c r="G33" s="395"/>
      <x:c r="H33" s="815">
        <x:f>23202.47*1.3</x:f>
        <x:v>30163.211000000003</x:v>
      </x:c>
      <x:c r="I33" s="395"/>
      <x:c r="J33" s="815">
        <x:f>23202.47*1.3</x:f>
        <x:v>30163.211000000003</x:v>
      </x:c>
      <x:c r="K33" s="395"/>
      <x:c r="L33" s="815">
        <x:f>23202.47*1.3</x:f>
        <x:v>30163.211000000003</x:v>
      </x:c>
      <x:c r="M33" s="395" t="s">
        <x:v>287</x:v>
      </x:c>
      <x:c r="N33" s="815">
        <x:f>23202.47*1.3</x:f>
        <x:v>30163.211000000003</x:v>
      </x:c>
      <x:c r="O33" s="395"/>
      <x:c r="P33" s="815">
        <x:f>23202.47*1.3</x:f>
        <x:v>30163.211000000003</x:v>
      </x:c>
      <x:c r="Q33" s="395"/>
      <x:c r="R33" s="815">
        <x:f>23202.47*1.3</x:f>
        <x:v>30163.211000000003</x:v>
      </x:c>
      <x:c r="S33" s="395"/>
      <x:c r="T33" s="815">
        <x:f>23202.47*1.3</x:f>
        <x:v>30163.211000000003</x:v>
      </x:c>
      <x:c r="U33" s="395"/>
      <x:c r="V33" s="815">
        <x:f>23202.47*1.3</x:f>
        <x:v>30163.211000000003</x:v>
      </x:c>
      <x:c r="W33" s="395"/>
      <x:c r="X33" s="815">
        <x:f>23202.47*1.3</x:f>
        <x:v>30163.211000000003</x:v>
      </x:c>
      <x:c r="Y33" s="395"/>
      <x:c r="Z33" s="815">
        <x:f>23202.47*1.3</x:f>
        <x:v>30163.211000000003</x:v>
      </x:c>
      <x:c r="AA33" s="395"/>
      <x:c r="AB33" s="815">
        <x:f>23202.47*1.3</x:f>
        <x:v>30163.211000000003</x:v>
      </x:c>
      <x:c r="AC33" s="683">
        <x:f>SUM(F33,H33,J33,L33,N33,P33,R33,T33,V33,X33,Z33,AB33)</x:f>
        <x:v>361958.53200000006</x:v>
      </x:c>
    </x:row>
    <x:row r="34" spans="2:30" s="161" customFormat="1" ht="24" customHeight="1">
      <x:c r="B34" s="1262"/>
      <x:c r="C34" s="4" t="s">
        <x:v>552</x:v>
      </x:c>
      <x:c r="D34" s="626" t="s">
        <x:v>551</x:v>
      </x:c>
      <x:c r="E34" s="395"/>
      <x:c r="F34" s="815">
        <x:f>6800.79*1.3</x:f>
        <x:v>8841.027</x:v>
      </x:c>
      <x:c r="G34" s="395"/>
      <x:c r="H34" s="815">
        <x:f>6800.79*1.3</x:f>
        <x:v>8841.027</x:v>
      </x:c>
      <x:c r="I34" s="395"/>
      <x:c r="J34" s="815">
        <x:f>6800.79*1.3</x:f>
        <x:v>8841.027</x:v>
      </x:c>
      <x:c r="K34" s="395"/>
      <x:c r="L34" s="815">
        <x:f>6800.79*1.3</x:f>
        <x:v>8841.027</x:v>
      </x:c>
      <x:c r="M34" s="395"/>
      <x:c r="N34" s="815">
        <x:f>6800.79*1.3</x:f>
        <x:v>8841.027</x:v>
      </x:c>
      <x:c r="O34" s="395"/>
      <x:c r="P34" s="815">
        <x:f>6800.79*1.3</x:f>
        <x:v>8841.027</x:v>
      </x:c>
      <x:c r="Q34" s="395"/>
      <x:c r="R34" s="815">
        <x:f>6800.79*1.3</x:f>
        <x:v>8841.027</x:v>
      </x:c>
      <x:c r="S34" s="395"/>
      <x:c r="T34" s="815">
        <x:f>6800.79*1.3</x:f>
        <x:v>8841.027</x:v>
      </x:c>
      <x:c r="U34" s="395"/>
      <x:c r="V34" s="815">
        <x:f>6800.79*1.3</x:f>
        <x:v>8841.027</x:v>
      </x:c>
      <x:c r="W34" s="395"/>
      <x:c r="X34" s="815">
        <x:f>6800.79*1.3</x:f>
        <x:v>8841.027</x:v>
      </x:c>
      <x:c r="Y34" s="395"/>
      <x:c r="Z34" s="815">
        <x:f>6800.79*1.3</x:f>
        <x:v>8841.027</x:v>
      </x:c>
      <x:c r="AA34" s="395"/>
      <x:c r="AB34" s="815">
        <x:f>6800.79*1.3</x:f>
        <x:v>8841.027</x:v>
      </x:c>
      <x:c r="AC34" s="683">
        <x:f>SUM(F34,H34,J34,L34,N34,P34,R34,T34,V34,X34,Z34,AB34)</x:f>
        <x:v>106092.32400000001</x:v>
      </x:c>
    </x:row>
    <x:row r="35" spans="2:30" s="161" customFormat="1" ht="24" customHeight="1">
      <x:c r="B35" s="1262" t="s">
        <x:v>546</x:v>
      </x:c>
      <x:c r="C35" s="4" t="s">
        <x:v>553</x:v>
      </x:c>
      <x:c r="D35" s="626" t="s">
        <x:v>554</x:v>
      </x:c>
      <x:c r="E35" s="395"/>
      <x:c r="F35" s="816" t="s">
        <x:v>287</x:v>
      </x:c>
      <x:c r="G35" s="395"/>
      <x:c r="H35" s="818"/>
      <x:c r="I35" s="395"/>
      <x:c r="J35" s="818"/>
      <x:c r="K35" s="395"/>
      <x:c r="L35" s="818"/>
      <x:c r="M35" s="395"/>
      <x:c r="N35" s="816"/>
      <x:c r="O35" s="395"/>
      <x:c r="P35" s="816"/>
      <x:c r="Q35" s="395"/>
      <x:c r="R35" s="816"/>
      <x:c r="S35" s="395"/>
      <x:c r="T35" s="825"/>
      <x:c r="U35" s="1272"/>
      <x:c r="V35" s="1269">
        <x:f>54582*1.3</x:f>
        <x:v>70956.600000000006</x:v>
      </x:c>
      <x:c r="W35" s="395"/>
      <x:c r="X35" s="825"/>
      <x:c r="Y35" s="395"/>
      <x:c r="Z35" s="825"/>
      <x:c r="AA35" s="395"/>
      <x:c r="AB35" s="825"/>
      <x:c r="AC35" s="683">
        <x:f>SUM(F35,H35,J35,L35,N35,P35,R35,T35,V35,X35,Z35,AB35)</x:f>
        <x:v>70956.600000000006</x:v>
      </x:c>
    </x:row>
    <x:row r="36" spans="2:30" s="161" customFormat="1" ht="24" customHeight="1">
      <x:c r="B36" s="1262"/>
      <x:c r="C36" s="4" t="s">
        <x:v>555</x:v>
      </x:c>
      <x:c r="D36" s="626" t="s">
        <x:v>554</x:v>
      </x:c>
      <x:c r="E36" s="395"/>
      <x:c r="F36" s="816" t="s">
        <x:v>287</x:v>
      </x:c>
      <x:c r="G36" s="395"/>
      <x:c r="H36" s="816"/>
      <x:c r="I36" s="395"/>
      <x:c r="J36" s="816"/>
      <x:c r="K36" s="395"/>
      <x:c r="L36" s="816"/>
      <x:c r="M36" s="395"/>
      <x:c r="N36" s="820"/>
      <x:c r="O36" s="395"/>
      <x:c r="P36" s="816"/>
      <x:c r="Q36" s="395"/>
      <x:c r="R36" s="818"/>
      <x:c r="S36" s="395"/>
      <x:c r="T36" s="818"/>
      <x:c r="U36" s="1273"/>
      <x:c r="V36" s="1270"/>
      <x:c r="W36" s="395"/>
      <x:c r="X36" s="827"/>
      <x:c r="Y36" s="395"/>
      <x:c r="Z36" s="827"/>
      <x:c r="AA36" s="395"/>
      <x:c r="AB36" s="827"/>
      <x:c r="AC36" s="683">
        <x:f t="shared" ref="AC36" si="4">SUM(F36,H36,J36,L36,N36,P36,R36,T36,V36,X36,Z36,AB36)</x:f>
        <x:v>0</x:v>
      </x:c>
    </x:row>
    <x:row r="37" spans="2:30" s="161" customFormat="1" ht="24" customHeight="1">
      <x:c r="B37" s="1262"/>
      <x:c r="C37" s="4" t="s">
        <x:v>556</x:v>
      </x:c>
      <x:c r="D37" s="626" t="s">
        <x:v>551</x:v>
      </x:c>
      <x:c r="E37" s="395"/>
      <x:c r="F37" s="815">
        <x:v>22800</x:v>
      </x:c>
      <x:c r="G37" s="395"/>
      <x:c r="H37" s="815">
        <x:v>22800</x:v>
      </x:c>
      <x:c r="I37" s="395"/>
      <x:c r="J37" s="815">
        <x:v>22800</x:v>
      </x:c>
      <x:c r="K37" s="395"/>
      <x:c r="L37" s="815">
        <x:v>22800</x:v>
      </x:c>
      <x:c r="M37" s="395"/>
      <x:c r="N37" s="815">
        <x:v>22800</x:v>
      </x:c>
      <x:c r="O37" s="395"/>
      <x:c r="P37" s="815">
        <x:v>22800</x:v>
      </x:c>
      <x:c r="Q37" s="395"/>
      <x:c r="R37" s="815">
        <x:f>P37*1.3</x:f>
        <x:v>29640</x:v>
      </x:c>
      <x:c r="S37" s="395"/>
      <x:c r="T37" s="815">
        <x:v>29640</x:v>
      </x:c>
      <x:c r="U37" s="395"/>
      <x:c r="V37" s="815">
        <x:v>29640</x:v>
      </x:c>
      <x:c r="W37" s="395"/>
      <x:c r="X37" s="815">
        <x:v>29640</x:v>
      </x:c>
      <x:c r="Y37" s="395"/>
      <x:c r="Z37" s="815">
        <x:v>29640</x:v>
      </x:c>
      <x:c r="AA37" s="395"/>
      <x:c r="AB37" s="815">
        <x:v>29640</x:v>
      </x:c>
      <x:c r="AC37" s="683">
        <x:f>SUM(F37,H37,J37,L37,N37,P37,R37,T37,V37,X37,Z37,AB37)</x:f>
        <x:v>314640</x:v>
      </x:c>
      <x:c r="AD37" s="161" t="s">
        <x:v>768</x:v>
      </x:c>
    </x:row>
    <x:row r="38" spans="2:30" s="161" customFormat="1" ht="24" customHeight="1">
      <x:c r="B38" s="1262" t="s">
        <x:v>557</x:v>
      </x:c>
      <x:c r="C38" s="4" t="s">
        <x:v>558</x:v>
      </x:c>
      <x:c r="D38" s="626" t="s">
        <x:v>554</x:v>
      </x:c>
      <x:c r="E38" s="658"/>
      <x:c r="F38" s="832"/>
      <x:c r="G38" s="658"/>
      <x:c r="H38" s="832"/>
      <x:c r="I38" s="658"/>
      <x:c r="J38" s="832"/>
      <x:c r="K38" s="658"/>
      <x:c r="L38" s="832"/>
      <x:c r="M38" s="658"/>
      <x:c r="N38" s="815">
        <x:v>198000</x:v>
      </x:c>
      <x:c r="O38" s="658"/>
      <x:c r="P38" s="832"/>
      <x:c r="Q38" s="658"/>
      <x:c r="R38" s="832"/>
      <x:c r="S38" s="658"/>
      <x:c r="T38" s="832"/>
      <x:c r="U38" s="658"/>
      <x:c r="V38" s="832"/>
      <x:c r="W38" s="395"/>
      <x:c r="X38" s="826"/>
      <x:c r="Y38" s="395"/>
      <x:c r="Z38" s="829"/>
      <x:c r="AA38" s="395"/>
      <x:c r="AB38" s="829"/>
      <x:c r="AC38" s="511">
        <x:f>SUM(F38,H38,J38,L38,N38,P38,R38,T38,V38,X38,Z38,AB38)</x:f>
        <x:v>198000</x:v>
      </x:c>
    </x:row>
    <x:row r="39" spans="2:30" s="161" customFormat="1" ht="24" customHeight="1">
      <x:c r="B39" s="1262"/>
      <x:c r="C39" s="4" t="s">
        <x:v>559</x:v>
      </x:c>
      <x:c r="D39" s="626" t="s">
        <x:v>554</x:v>
      </x:c>
      <x:c r="E39" s="658"/>
      <x:c r="F39" s="815">
        <x:v>39600</x:v>
      </x:c>
      <x:c r="G39" s="658"/>
      <x:c r="H39" s="815">
        <x:v>39600</x:v>
      </x:c>
      <x:c r="I39" s="658"/>
      <x:c r="J39" s="815">
        <x:v>39600</x:v>
      </x:c>
      <x:c r="K39" s="658"/>
      <x:c r="L39" s="815">
        <x:v>39600</x:v>
      </x:c>
      <x:c r="M39" s="658"/>
      <x:c r="N39" s="815">
        <x:v>39600</x:v>
      </x:c>
      <x:c r="O39" s="658"/>
      <x:c r="P39" s="815">
        <x:v>39600</x:v>
      </x:c>
      <x:c r="Q39" s="658"/>
      <x:c r="R39" s="815">
        <x:v>39600</x:v>
      </x:c>
      <x:c r="S39" s="658"/>
      <x:c r="T39" s="815">
        <x:v>39600</x:v>
      </x:c>
      <x:c r="U39" s="658"/>
      <x:c r="V39" s="815">
        <x:v>39600</x:v>
      </x:c>
      <x:c r="W39" s="658"/>
      <x:c r="X39" s="815">
        <x:v>39600</x:v>
      </x:c>
      <x:c r="Y39" s="658"/>
      <x:c r="Z39" s="815">
        <x:v>39600</x:v>
      </x:c>
      <x:c r="AA39" s="658"/>
      <x:c r="AB39" s="815">
        <x:v>39600</x:v>
      </x:c>
      <x:c r="AC39" s="511">
        <x:f>SUM(F39,H39,J39,L39,N39,P39,R39,T39,V39,X39,Z39,AB39)</x:f>
        <x:v>475200</x:v>
      </x:c>
    </x:row>
    <x:row r="40" spans="2:30" s="161" customFormat="1" ht="24" customHeight="1">
      <x:c r="B40" s="1274"/>
      <x:c r="C40" s="389" t="s">
        <x:v>1171</x:v>
      </x:c>
      <x:c r="D40" s="626" t="s">
        <x:v>554</x:v>
      </x:c>
      <x:c r="E40" s="623"/>
      <x:c r="F40" s="830"/>
      <x:c r="G40" s="623"/>
      <x:c r="H40" s="830"/>
      <x:c r="I40" s="623"/>
      <x:c r="J40" s="830"/>
      <x:c r="K40" s="623"/>
      <x:c r="L40" s="830"/>
      <x:c r="M40" s="623"/>
      <x:c r="N40" s="830"/>
      <x:c r="O40" s="623"/>
      <x:c r="P40" s="830"/>
      <x:c r="Q40" s="623"/>
      <x:c r="R40" s="830"/>
      <x:c r="S40" s="623"/>
      <x:c r="T40" s="830"/>
      <x:c r="U40" s="623"/>
      <x:c r="V40" s="830"/>
      <x:c r="W40" s="623"/>
      <x:c r="X40" s="830"/>
      <x:c r="Y40" s="623"/>
      <x:c r="Z40" s="830"/>
      <x:c r="AA40" s="623"/>
      <x:c r="AB40" s="830">
        <x:v>182378</x:v>
      </x:c>
      <x:c r="AC40" s="511">
        <x:f>SUM(F40,H40,J40,L40,N40,P40,R40,T40,V40,X40,Z40,AB40)</x:f>
        <x:v>182378</x:v>
      </x:c>
    </x:row>
    <x:row r="41" spans="2:30" s="161" customFormat="1" ht="24" customHeight="1">
      <x:c r="B41" s="1262"/>
      <x:c r="C41" s="4" t="s">
        <x:v>560</x:v>
      </x:c>
      <x:c r="D41" s="626" t="s">
        <x:v>554</x:v>
      </x:c>
      <x:c r="E41" s="658"/>
      <x:c r="F41" s="815">
        <x:v>182378.4</x:v>
      </x:c>
      <x:c r="G41" s="395"/>
      <x:c r="H41" s="832"/>
      <x:c r="I41" s="395"/>
      <x:c r="J41" s="832"/>
      <x:c r="K41" s="395"/>
      <x:c r="L41" s="832"/>
      <x:c r="M41" s="395"/>
      <x:c r="N41" s="832"/>
      <x:c r="O41" s="395"/>
      <x:c r="P41" s="829"/>
      <x:c r="Q41" s="395"/>
      <x:c r="R41" s="832"/>
      <x:c r="S41" s="395"/>
      <x:c r="T41" s="832"/>
      <x:c r="U41" s="395"/>
      <x:c r="V41" s="832"/>
      <x:c r="W41" s="395"/>
      <x:c r="X41" s="826"/>
      <x:c r="Y41" s="395"/>
      <x:c r="Z41" s="826"/>
      <x:c r="AA41" s="395"/>
      <x:c r="AB41" s="826"/>
      <x:c r="AC41" s="511">
        <x:f>SUM(F41,H41,J41,L41,N41,P41,R41,T41,V41,X41,Z41,AB41)</x:f>
        <x:v>182378.4</x:v>
      </x:c>
    </x:row>
    <x:row r="42" spans="2:30" s="161" customFormat="1" ht="24" customHeight="1">
      <x:c r="B42" s="461" t="s">
        <x:v>1266</x:v>
      </x:c>
      <x:c r="C42" s="389"/>
      <x:c r="D42" s="626" t="s">
        <x:v>554</x:v>
      </x:c>
      <x:c r="E42" s="395"/>
      <x:c r="F42" s="833"/>
      <x:c r="G42" s="395"/>
      <x:c r="H42" s="833"/>
      <x:c r="I42" s="395"/>
      <x:c r="J42" s="833"/>
      <x:c r="K42" s="395"/>
      <x:c r="L42" s="833"/>
      <x:c r="M42" s="395" t="s">
        <x:v>287</x:v>
      </x:c>
      <x:c r="N42" s="833"/>
      <x:c r="O42" s="395" t="s">
        <x:v>287</x:v>
      </x:c>
      <x:c r="P42" s="834"/>
      <x:c r="Q42" s="395" t="s">
        <x:v>287</x:v>
      </x:c>
      <x:c r="R42" s="833"/>
      <x:c r="S42" s="395"/>
      <x:c r="T42" s="833"/>
      <x:c r="U42" s="395"/>
      <x:c r="V42" s="833"/>
      <x:c r="W42" s="395"/>
      <x:c r="X42" s="831"/>
      <x:c r="Y42" s="395"/>
      <x:c r="Z42" s="831"/>
      <x:c r="AA42" s="395"/>
      <x:c r="AB42" s="831">
        <x:v>34328.448000000004</x:v>
      </x:c>
      <x:c r="AC42" s="683">
        <x:f t="shared" ref="AC42" si="5">SUM(F42,H42,J42,L42,N42,P42,R42,T42,V42,X42,Z42,AB42)</x:f>
        <x:v>34328.448000000004</x:v>
      </x:c>
    </x:row>
    <x:row r="43" spans="2:30" s="161" customFormat="1" ht="24" customHeight="1">
      <x:c r="B43" s="685"/>
      <x:c r="C43" s="685"/>
      <x:c r="D43" s="685"/>
      <x:c r="E43" s="685"/>
      <x:c r="F43" s="685"/>
      <x:c r="G43" s="685"/>
      <x:c r="H43" s="685"/>
      <x:c r="I43" s="685"/>
      <x:c r="J43" s="685"/>
      <x:c r="K43" s="685"/>
      <x:c r="L43" s="685"/>
      <x:c r="M43" s="685"/>
      <x:c r="N43" s="685"/>
      <x:c r="O43" s="685"/>
      <x:c r="P43" s="685"/>
      <x:c r="Q43" s="685"/>
      <x:c r="R43" s="685"/>
      <x:c r="S43" s="685"/>
      <x:c r="T43" s="685"/>
      <x:c r="U43" s="685"/>
      <x:c r="V43" s="685"/>
      <x:c r="W43" s="685"/>
      <x:c r="X43" s="685"/>
      <x:c r="Y43" s="685"/>
      <x:c r="Z43" s="685"/>
      <x:c r="AA43" s="685"/>
      <x:c r="AB43" s="685"/>
      <x:c r="AC43" s="317">
        <x:f>SUM(AC32:AC42)</x:f>
        <x:v>1925932.3040000002</x:v>
      </x:c>
      <x:c r="AD43" s="685"/>
    </x:row>
    <x:row r="44" spans="2:30" s="161" customFormat="1" ht="24" customHeight="1">
      <x:c r="B44" s="685"/>
      <x:c r="C44" s="685"/>
      <x:c r="D44" s="685"/>
      <x:c r="E44" s="685"/>
      <x:c r="F44" s="685"/>
      <x:c r="G44" s="685"/>
      <x:c r="H44" s="685"/>
      <x:c r="I44" s="685"/>
      <x:c r="J44" s="685"/>
      <x:c r="K44" s="685"/>
      <x:c r="L44" s="685"/>
      <x:c r="M44" s="685"/>
      <x:c r="N44" s="685"/>
      <x:c r="O44" s="685"/>
      <x:c r="P44" s="685"/>
      <x:c r="Q44" s="685"/>
      <x:c r="R44" s="685"/>
      <x:c r="S44" s="318"/>
      <x:c r="T44" s="318"/>
      <x:c r="U44" s="318"/>
      <x:c r="V44" s="318"/>
      <x:c r="W44" s="318"/>
      <x:c r="X44" s="318"/>
      <x:c r="Y44" s="318"/>
      <x:c r="Z44" s="318"/>
      <x:c r="AA44" s="318"/>
      <x:c r="AB44" s="318"/>
      <x:c r="AC44" s="318"/>
      <x:c r="AD44" s="318"/>
    </x:row>
    <x:row r="45" spans="2:30" s="161" customFormat="1" ht="24" customHeight="1">
      <x:c r="B45" s="432"/>
      <x:c r="C45" s="432"/>
      <x:c r="D45" s="688"/>
      <x:c r="E45" s="599"/>
      <x:c r="F45" s="637"/>
      <x:c r="G45" s="599"/>
      <x:c r="H45" s="637"/>
      <x:c r="I45" s="599"/>
      <x:c r="J45" s="637"/>
      <x:c r="K45" s="599"/>
      <x:c r="L45" s="637"/>
      <x:c r="M45" s="599"/>
      <x:c r="N45" s="637"/>
      <x:c r="O45" s="599"/>
      <x:c r="P45" s="599"/>
      <x:c r="Q45" s="599"/>
      <x:c r="R45" s="637"/>
      <x:c r="S45" s="310"/>
      <x:c r="T45" s="311"/>
      <x:c r="U45" s="310"/>
      <x:c r="V45" s="311"/>
      <x:c r="W45" s="310"/>
      <x:c r="X45" s="312"/>
      <x:c r="Y45" s="310"/>
      <x:c r="Z45" s="312"/>
      <x:c r="AA45" s="310"/>
      <x:c r="AB45" s="312"/>
    </x:row>
    <x:row r="46" spans="2:30" s="161" customFormat="1" ht="24" customHeight="1">
      <x:c r="B46" s="432"/>
      <x:c r="C46" s="432"/>
      <x:c r="D46" s="554" t="s">
        <x:v>1075</x:v>
      </x:c>
      <x:c r="E46" s="554" t="s">
        <x:v>169</x:v>
      </x:c>
      <x:c r="F46" s="554" t="s">
        <x:v>170</x:v>
      </x:c>
      <x:c r="G46" s="554" t="s">
        <x:v>171</x:v>
      </x:c>
      <x:c r="H46" s="554" t="s">
        <x:v>172</x:v>
      </x:c>
      <x:c r="I46" s="554" t="s">
        <x:v>173</x:v>
      </x:c>
      <x:c r="J46" s="554" t="s">
        <x:v>174</x:v>
      </x:c>
      <x:c r="K46" s="554" t="s">
        <x:v>175</x:v>
      </x:c>
      <x:c r="L46" s="554" t="s">
        <x:v>176</x:v>
      </x:c>
      <x:c r="M46" s="554" t="s">
        <x:v>177</x:v>
      </x:c>
      <x:c r="N46" s="554" t="s">
        <x:v>178</x:v>
      </x:c>
      <x:c r="O46" s="554" t="s">
        <x:v>179</x:v>
      </x:c>
      <x:c r="P46" s="554" t="s">
        <x:v>180</x:v>
      </x:c>
      <x:c r="Q46" s="554" t="s">
        <x:v>207</x:v>
      </x:c>
      <x:c r="R46" s="688"/>
      <x:c r="S46" s="310"/>
      <x:c r="T46" s="311"/>
      <x:c r="U46" s="310"/>
      <x:c r="V46" s="311"/>
      <x:c r="W46" s="310"/>
      <x:c r="X46" s="312"/>
      <x:c r="Y46" s="310"/>
      <x:c r="Z46" s="312"/>
      <x:c r="AA46" s="310"/>
      <x:c r="AB46" s="312"/>
      <x:c r="AC46" s="313"/>
    </x:row>
    <x:row r="47" spans="2:30" s="161" customFormat="1" ht="24" customHeight="1">
      <x:c r="B47" s="432"/>
      <x:c r="C47" s="432"/>
      <x:c r="D47" s="835" t="s">
        <x:v>1267</x:v>
      </x:c>
      <x:c r="E47" s="783">
        <x:f>SUM(F33:F42)</x:f>
        <x:v>283782.63800000004</x:v>
      </x:c>
      <x:c r="F47" s="783">
        <x:f>SUM(H33:H42)</x:f>
        <x:v>101404.23800000001</x:v>
      </x:c>
      <x:c r="G47" s="783">
        <x:f>SUM(J33:J42)</x:f>
        <x:v>101404.23800000001</x:v>
      </x:c>
      <x:c r="H47" s="783">
        <x:f>SUM(L33:L42)</x:f>
        <x:v>101404.23800000001</x:v>
      </x:c>
      <x:c r="I47" s="783">
        <x:f>SUM(N33:N42)</x:f>
        <x:v>299404.23800000001</x:v>
      </x:c>
      <x:c r="J47" s="783">
        <x:f>SUM(P33:P42)</x:f>
        <x:v>101404.23800000001</x:v>
      </x:c>
      <x:c r="K47" s="783">
        <x:f>SUM(R33:R42)</x:f>
        <x:v>108244.23800000001</x:v>
      </x:c>
      <x:c r="L47" s="783">
        <x:f>SUM(T33:T42)</x:f>
        <x:v>108244.23800000001</x:v>
      </x:c>
      <x:c r="M47" s="783">
        <x:f>SUM(V33:V42)</x:f>
        <x:v>179200.83800000002</x:v>
      </x:c>
      <x:c r="N47" s="783">
        <x:f>SUM(X33:X42)</x:f>
        <x:v>108244.23800000001</x:v>
      </x:c>
      <x:c r="O47" s="783">
        <x:f>SUM(Z33:Z42)</x:f>
        <x:v>108244.23800000001</x:v>
      </x:c>
      <x:c r="P47" s="783">
        <x:f>SUM(AB33:AB42)</x:f>
        <x:v>324950.68599999999</x:v>
      </x:c>
      <x:c r="Q47" s="783">
        <x:f>SUM(E47:P47)</x:f>
        <x:v>1925932.3039999998</x:v>
      </x:c>
      <x:c r="R47" s="688"/>
      <x:c r="S47" s="310"/>
      <x:c r="T47" s="311"/>
      <x:c r="U47" s="310"/>
      <x:c r="V47" s="311"/>
      <x:c r="W47" s="310"/>
      <x:c r="X47" s="312"/>
      <x:c r="Y47" s="310"/>
      <x:c r="Z47" s="312"/>
      <x:c r="AA47" s="310"/>
      <x:c r="AB47" s="312"/>
      <x:c r="AC47" s="313"/>
    </x:row>
    <x:row r="50" spans="2:16" ht="31.5">
      <x:c r="B50" s="26" t="s">
        <x:v>1201</x:v>
      </x:c>
      <x:c r="C50" s="26"/>
      <x:c r="D50" s="26"/>
    </x:row>
    <x:row r="51" spans="2:16" ht="2.4500000000000002" customHeight="1">
      <x:c r="B51" s="29"/>
      <x:c r="C51" s="29"/>
      <x:c r="D51" s="29"/>
      <x:c r="E51" s="29"/>
      <x:c r="F51" s="29"/>
      <x:c r="G51" s="29"/>
    </x:row>
    <x:row r="52" spans="2:16" ht="7.9" customHeight="1" thickBot="1"/>
    <x:row r="53" spans="2:16" ht="24" customHeight="1" thickBot="1">
      <x:c r="B53" s="1090" t="s">
        <x:v>763</x:v>
      </x:c>
      <x:c r="C53" s="1091" t="s">
        <x:v>986</x:v>
      </x:c>
      <x:c r="D53" s="1091" t="s">
        <x:v>169</x:v>
      </x:c>
      <x:c r="E53" s="1091" t="s">
        <x:v>170</x:v>
      </x:c>
      <x:c r="F53" s="1091" t="s">
        <x:v>171</x:v>
      </x:c>
      <x:c r="G53" s="1091" t="s">
        <x:v>172</x:v>
      </x:c>
      <x:c r="H53" s="1091" t="s">
        <x:v>173</x:v>
      </x:c>
      <x:c r="I53" s="1091" t="s">
        <x:v>174</x:v>
      </x:c>
      <x:c r="J53" s="1091" t="s">
        <x:v>175</x:v>
      </x:c>
      <x:c r="K53" s="1091" t="s">
        <x:v>176</x:v>
      </x:c>
      <x:c r="L53" s="1091" t="s">
        <x:v>177</x:v>
      </x:c>
      <x:c r="M53" s="1091" t="s">
        <x:v>178</x:v>
      </x:c>
      <x:c r="N53" s="1091" t="s">
        <x:v>179</x:v>
      </x:c>
      <x:c r="O53" s="1091" t="s">
        <x:v>180</x:v>
      </x:c>
      <x:c r="P53" s="1092" t="s">
        <x:v>207</x:v>
      </x:c>
    </x:row>
    <x:row r="54" spans="2:16" ht="24" customHeight="1" thickBot="1">
      <x:c r="B54" s="1086" t="s">
        <x:v>976</x:v>
      </x:c>
      <x:c r="C54" s="1087" t="s">
        <x:v>981</x:v>
      </x:c>
      <x:c r="D54" s="1088"/>
      <x:c r="E54" s="1088"/>
      <x:c r="F54" s="1088"/>
      <x:c r="G54" s="1088"/>
      <x:c r="H54" s="1088"/>
      <x:c r="I54" s="1088"/>
      <x:c r="J54" s="1088"/>
      <x:c r="K54" s="1088"/>
      <x:c r="L54" s="1088"/>
      <x:c r="M54" s="1088"/>
      <x:c r="N54" s="1088"/>
      <x:c r="O54" s="1088"/>
      <x:c r="P54" s="1089">
        <x:f>SUM(D54:O54)</x:f>
        <x:v>0</x:v>
      </x:c>
    </x:row>
    <x:row r="55" spans="2:16" ht="24" customHeight="1" thickBot="1">
      <x:c r="B55" s="1086" t="s">
        <x:v>977</x:v>
      </x:c>
      <x:c r="C55" s="1087" t="s">
        <x:v>982</x:v>
      </x:c>
      <x:c r="D55" s="1088">
        <x:v>30000</x:v>
      </x:c>
      <x:c r="E55" s="1088">
        <x:v>30000</x:v>
      </x:c>
      <x:c r="F55" s="1088">
        <x:v>30000</x:v>
      </x:c>
      <x:c r="G55" s="1088">
        <x:v>30000</x:v>
      </x:c>
      <x:c r="H55" s="1088">
        <x:v>30000</x:v>
      </x:c>
      <x:c r="I55" s="1088">
        <x:v>30000</x:v>
      </x:c>
      <x:c r="J55" s="1088">
        <x:v>30000</x:v>
      </x:c>
      <x:c r="K55" s="1088">
        <x:v>30000</x:v>
      </x:c>
      <x:c r="L55" s="1088">
        <x:v>30000</x:v>
      </x:c>
      <x:c r="M55" s="1088">
        <x:v>30000</x:v>
      </x:c>
      <x:c r="N55" s="1088">
        <x:v>30000</x:v>
      </x:c>
      <x:c r="O55" s="1088">
        <x:v>30000</x:v>
      </x:c>
      <x:c r="P55" s="1089">
        <x:f t="shared" ref="P55" si="6">SUM(D55:O55)</x:f>
        <x:v>360000</x:v>
      </x:c>
    </x:row>
    <x:row r="56" spans="2:16" ht="24" customHeight="1">
      <x:c r="B56" s="1080" t="s">
        <x:v>978</x:v>
      </x:c>
      <x:c r="C56" s="1081" t="s">
        <x:v>982</x:v>
      </x:c>
      <x:c r="D56" s="1275">
        <x:v>91232</x:v>
      </x:c>
      <x:c r="E56" s="1275">
        <x:v>91232</x:v>
      </x:c>
      <x:c r="F56" s="1275">
        <x:v>91232</x:v>
      </x:c>
      <x:c r="G56" s="1275">
        <x:v>91232</x:v>
      </x:c>
      <x:c r="H56" s="1275">
        <x:v>91232</x:v>
      </x:c>
      <x:c r="I56" s="1275">
        <x:v>91232</x:v>
      </x:c>
      <x:c r="J56" s="1275">
        <x:v>91232</x:v>
      </x:c>
      <x:c r="K56" s="1275">
        <x:v>91232</x:v>
      </x:c>
      <x:c r="L56" s="1275">
        <x:v>91232</x:v>
      </x:c>
      <x:c r="M56" s="1275">
        <x:v>91232</x:v>
      </x:c>
      <x:c r="N56" s="1275">
        <x:v>91232</x:v>
      </x:c>
      <x:c r="O56" s="1275">
        <x:v>91232</x:v>
      </x:c>
      <x:c r="P56" s="1278">
        <x:f>SUM(D56:O59)</x:f>
        <x:v>1094784</x:v>
      </x:c>
    </x:row>
    <x:row r="57" spans="2:16" ht="24" customHeight="1">
      <x:c r="B57" s="1082" t="s">
        <x:v>979</x:v>
      </x:c>
      <x:c r="C57" s="1083" t="s">
        <x:v>982</x:v>
      </x:c>
      <x:c r="D57" s="1276"/>
      <x:c r="E57" s="1276"/>
      <x:c r="F57" s="1276"/>
      <x:c r="G57" s="1276"/>
      <x:c r="H57" s="1276"/>
      <x:c r="I57" s="1276"/>
      <x:c r="J57" s="1276"/>
      <x:c r="K57" s="1276"/>
      <x:c r="L57" s="1276"/>
      <x:c r="M57" s="1276"/>
      <x:c r="N57" s="1276"/>
      <x:c r="O57" s="1276"/>
      <x:c r="P57" s="1279"/>
    </x:row>
    <x:row r="58" spans="2:16" ht="24" customHeight="1">
      <x:c r="B58" s="1082" t="s">
        <x:v>980</x:v>
      </x:c>
      <x:c r="C58" s="1083" t="s">
        <x:v>983</x:v>
      </x:c>
      <x:c r="D58" s="1276"/>
      <x:c r="E58" s="1276"/>
      <x:c r="F58" s="1276"/>
      <x:c r="G58" s="1276"/>
      <x:c r="H58" s="1276"/>
      <x:c r="I58" s="1276"/>
      <x:c r="J58" s="1276"/>
      <x:c r="K58" s="1276"/>
      <x:c r="L58" s="1276"/>
      <x:c r="M58" s="1276"/>
      <x:c r="N58" s="1276"/>
      <x:c r="O58" s="1276"/>
      <x:c r="P58" s="1279"/>
    </x:row>
    <x:row r="59" spans="2:16" ht="24" customHeight="1" thickBot="1">
      <x:c r="B59" s="1084" t="s">
        <x:v>984</x:v>
      </x:c>
      <x:c r="C59" s="1085" t="s">
        <x:v>985</x:v>
      </x:c>
      <x:c r="D59" s="1277"/>
      <x:c r="E59" s="1277"/>
      <x:c r="F59" s="1277"/>
      <x:c r="G59" s="1277"/>
      <x:c r="H59" s="1277"/>
      <x:c r="I59" s="1277"/>
      <x:c r="J59" s="1277"/>
      <x:c r="K59" s="1277"/>
      <x:c r="L59" s="1277"/>
      <x:c r="M59" s="1277"/>
      <x:c r="N59" s="1277"/>
      <x:c r="O59" s="1277"/>
      <x:c r="P59" s="1280"/>
    </x:row>
    <x:row r="60" spans="2:16" ht="24" customHeight="1" thickBot="1">
      <x:c r="B60" s="1093" t="s">
        <x:v>766</x:v>
      </x:c>
      <x:c r="C60" s="1094" t="s">
        <x:v>475</x:v>
      </x:c>
      <x:c r="D60" s="1095">
        <x:f>SUM(D54:D59)</x:f>
        <x:v>121232</x:v>
      </x:c>
      <x:c r="E60" s="1095">
        <x:f t="shared" ref="E60:O60" si="7">SUM(E54:E59)</x:f>
        <x:v>121232</x:v>
      </x:c>
      <x:c r="F60" s="1095">
        <x:f t="shared" si="7"/>
        <x:v>121232</x:v>
      </x:c>
      <x:c r="G60" s="1095">
        <x:f t="shared" si="7"/>
        <x:v>121232</x:v>
      </x:c>
      <x:c r="H60" s="1095">
        <x:f t="shared" si="7"/>
        <x:v>121232</x:v>
      </x:c>
      <x:c r="I60" s="1095">
        <x:f t="shared" si="7"/>
        <x:v>121232</x:v>
      </x:c>
      <x:c r="J60" s="1095">
        <x:f t="shared" si="7"/>
        <x:v>121232</x:v>
      </x:c>
      <x:c r="K60" s="1095">
        <x:f t="shared" si="7"/>
        <x:v>121232</x:v>
      </x:c>
      <x:c r="L60" s="1095">
        <x:f t="shared" si="7"/>
        <x:v>121232</x:v>
      </x:c>
      <x:c r="M60" s="1095">
        <x:f t="shared" si="7"/>
        <x:v>121232</x:v>
      </x:c>
      <x:c r="N60" s="1095">
        <x:f t="shared" si="7"/>
        <x:v>121232</x:v>
      </x:c>
      <x:c r="O60" s="1095">
        <x:f t="shared" si="7"/>
        <x:v>121232</x:v>
      </x:c>
      <x:c r="P60" s="1096">
        <x:f>SUM(P54:P59)</x:f>
        <x:v>1454784</x:v>
      </x:c>
    </x:row>
  </x:sheetData>
  <x:mergeCells count="55">
    <x:mergeCell ref="N56:N59"/>
    <x:mergeCell ref="O56:O59"/>
    <x:mergeCell ref="P56:P59"/>
    <x:mergeCell ref="I56:I59"/>
    <x:mergeCell ref="J56:J59"/>
    <x:mergeCell ref="K56:K59"/>
    <x:mergeCell ref="L56:L59"/>
    <x:mergeCell ref="M56:M59"/>
    <x:mergeCell ref="D56:D59"/>
    <x:mergeCell ref="E56:E59"/>
    <x:mergeCell ref="F56:F59"/>
    <x:mergeCell ref="G56:G59"/>
    <x:mergeCell ref="H56:H59"/>
    <x:mergeCell ref="U35:U36"/>
    <x:mergeCell ref="V35:V36"/>
    <x:mergeCell ref="B38:B41"/>
    <x:mergeCell ref="B35:B37"/>
    <x:mergeCell ref="B19:B20"/>
    <x:mergeCell ref="B21:B23"/>
    <x:mergeCell ref="B24:B26"/>
    <x:mergeCell ref="U21:U22"/>
    <x:mergeCell ref="B33:B34"/>
    <x:mergeCell ref="M32:N32"/>
    <x:mergeCell ref="O32:P32"/>
    <x:mergeCell ref="Q32:R32"/>
    <x:mergeCell ref="S32:T32"/>
    <x:mergeCell ref="B30:B32"/>
    <x:mergeCell ref="C30:C32"/>
    <x:mergeCell ref="D30:D32"/>
    <x:mergeCell ref="AC30:AC31"/>
    <x:mergeCell ref="E32:F32"/>
    <x:mergeCell ref="Q18:R18"/>
    <x:mergeCell ref="S18:T18"/>
    <x:mergeCell ref="U18:V18"/>
    <x:mergeCell ref="W18:X18"/>
    <x:mergeCell ref="Y18:Z18"/>
    <x:mergeCell ref="AA18:AB18"/>
    <x:mergeCell ref="G32:H32"/>
    <x:mergeCell ref="I32:J32"/>
    <x:mergeCell ref="K32:L32"/>
    <x:mergeCell ref="V21:V22"/>
    <x:mergeCell ref="Y32:Z32"/>
    <x:mergeCell ref="AA32:AB32"/>
    <x:mergeCell ref="U32:V32"/>
    <x:mergeCell ref="W32:X32"/>
    <x:mergeCell ref="B16:B18"/>
    <x:mergeCell ref="C16:C18"/>
    <x:mergeCell ref="D16:D18"/>
    <x:mergeCell ref="AC16:AC17"/>
    <x:mergeCell ref="E18:F18"/>
    <x:mergeCell ref="G18:H18"/>
    <x:mergeCell ref="I18:J18"/>
    <x:mergeCell ref="K18:L18"/>
    <x:mergeCell ref="M18:N18"/>
    <x:mergeCell ref="O18:P18"/>
  </x:mergeCells>
  <x:phoneticPr fontId="36" type="noConversion"/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6D3EF0E-0097-4941-AE2A-F62081FE49A1}" mc:Ignorable="x14ac xr xr2 xr3">
  <x:sheetPr codeName="Sheet6"/>
  <x:dimension ref="A1:P48"/>
  <x:sheetViews>
    <x:sheetView view="pageBreakPreview" zoomScale="70" zoomScaleNormal="70" zoomScaleSheetLayoutView="70" workbookViewId="0">
      <x:selection sqref="A1:D5"/>
    </x:sheetView>
  </x:sheetViews>
  <x:sheetFormatPr defaultColWidth="9.125" defaultRowHeight="16.5"/>
  <x:cols>
    <x:col min="1" max="1" width="11.75" style="31" customWidth="1"/>
    <x:col min="2" max="2" width="17.25" style="36" customWidth="1"/>
    <x:col min="3" max="3" width="20.875" style="36" customWidth="1"/>
    <x:col min="4" max="4" width="18.375" style="36" customWidth="1"/>
    <x:col min="5" max="16" width="11" style="36" customWidth="1"/>
    <x:col min="17" max="18" width="11.25" style="31" customWidth="1"/>
    <x:col min="19" max="16384" width="9.125" style="31"/>
  </x:cols>
  <x:sheetData>
    <x:row r="1" spans="1:16" ht="16.5" customHeight="1">
      <x:c r="A1" s="1285"/>
      <x:c r="B1" s="1286"/>
      <x:c r="C1" s="1286"/>
      <x:c r="D1" s="1287"/>
      <x:c r="E1" s="1294" t="s">
        <x:v>263</x:v>
      </x:c>
      <x:c r="F1" s="1295"/>
      <x:c r="G1" s="1295"/>
      <x:c r="H1" s="1295"/>
      <x:c r="I1" s="1295"/>
      <x:c r="J1" s="1295"/>
      <x:c r="K1" s="1295"/>
      <x:c r="L1" s="1295"/>
      <x:c r="M1" s="1295"/>
      <x:c r="N1" s="1295"/>
      <x:c r="O1" s="1295"/>
      <x:c r="P1" s="1296"/>
    </x:row>
    <x:row r="2" spans="1:16" ht="16.5" customHeight="1">
      <x:c r="A2" s="1288"/>
      <x:c r="B2" s="1289"/>
      <x:c r="C2" s="1289"/>
      <x:c r="D2" s="1290"/>
      <x:c r="E2" s="1297"/>
      <x:c r="F2" s="1297"/>
      <x:c r="G2" s="1297"/>
      <x:c r="H2" s="1297"/>
      <x:c r="I2" s="1297"/>
      <x:c r="J2" s="1297"/>
      <x:c r="K2" s="1297"/>
      <x:c r="L2" s="1297"/>
      <x:c r="M2" s="1297"/>
      <x:c r="N2" s="1297"/>
      <x:c r="O2" s="1297"/>
      <x:c r="P2" s="1298"/>
    </x:row>
    <x:row r="3" spans="1:16" ht="16.5" customHeight="1">
      <x:c r="A3" s="1288"/>
      <x:c r="B3" s="1289"/>
      <x:c r="C3" s="1289"/>
      <x:c r="D3" s="1290"/>
      <x:c r="E3" s="1297"/>
      <x:c r="F3" s="1297"/>
      <x:c r="G3" s="1297"/>
      <x:c r="H3" s="1297"/>
      <x:c r="I3" s="1297"/>
      <x:c r="J3" s="1297"/>
      <x:c r="K3" s="1297"/>
      <x:c r="L3" s="1297"/>
      <x:c r="M3" s="1297"/>
      <x:c r="N3" s="1297"/>
      <x:c r="O3" s="1297"/>
      <x:c r="P3" s="1298"/>
    </x:row>
    <x:row r="4" spans="1:16" ht="16.5" customHeight="1">
      <x:c r="A4" s="1288"/>
      <x:c r="B4" s="1289"/>
      <x:c r="C4" s="1289"/>
      <x:c r="D4" s="1290"/>
      <x:c r="E4" s="1297"/>
      <x:c r="F4" s="1297"/>
      <x:c r="G4" s="1297"/>
      <x:c r="H4" s="1297"/>
      <x:c r="I4" s="1297"/>
      <x:c r="J4" s="1297"/>
      <x:c r="K4" s="1297"/>
      <x:c r="L4" s="1297"/>
      <x:c r="M4" s="1297"/>
      <x:c r="N4" s="1297"/>
      <x:c r="O4" s="1297"/>
      <x:c r="P4" s="1298"/>
    </x:row>
    <x:row r="5" spans="1:16" ht="16.5" customHeight="1">
      <x:c r="A5" s="1291"/>
      <x:c r="B5" s="1292"/>
      <x:c r="C5" s="1292"/>
      <x:c r="D5" s="1293"/>
      <x:c r="E5" s="1297"/>
      <x:c r="F5" s="1297"/>
      <x:c r="G5" s="1297"/>
      <x:c r="H5" s="1297"/>
      <x:c r="I5" s="1297"/>
      <x:c r="J5" s="1297"/>
      <x:c r="K5" s="1297"/>
      <x:c r="L5" s="1297"/>
      <x:c r="M5" s="1297"/>
      <x:c r="N5" s="1297"/>
      <x:c r="O5" s="1297"/>
      <x:c r="P5" s="1298"/>
    </x:row>
    <x:row r="6" spans="1:16" ht="27.6" customHeight="1">
      <x:c r="A6" s="1299" t="s">
        <x:v>232</x:v>
      </x:c>
      <x:c r="B6" s="1300"/>
      <x:c r="C6" s="1300"/>
      <x:c r="D6" s="1300"/>
      <x:c r="E6" s="1097" t="s">
        <x:v>169</x:v>
      </x:c>
      <x:c r="F6" s="1097" t="s">
        <x:v>264</x:v>
      </x:c>
      <x:c r="G6" s="1097" t="s">
        <x:v>171</x:v>
      </x:c>
      <x:c r="H6" s="1097" t="s">
        <x:v>172</x:v>
      </x:c>
      <x:c r="I6" s="1097" t="s">
        <x:v>173</x:v>
      </x:c>
      <x:c r="J6" s="1097" t="s">
        <x:v>174</x:v>
      </x:c>
      <x:c r="K6" s="1097" t="s">
        <x:v>175</x:v>
      </x:c>
      <x:c r="L6" s="1097" t="s">
        <x:v>176</x:v>
      </x:c>
      <x:c r="M6" s="1097" t="s">
        <x:v>233</x:v>
      </x:c>
      <x:c r="N6" s="1097" t="s">
        <x:v>178</x:v>
      </x:c>
      <x:c r="O6" s="1097" t="s">
        <x:v>179</x:v>
      </x:c>
      <x:c r="P6" s="1098" t="s">
        <x:v>180</x:v>
      </x:c>
    </x:row>
    <x:row r="7" spans="1:16" ht="31.15" customHeight="1">
      <x:c r="A7" s="1301" t="s">
        <x:v>234</x:v>
      </x:c>
      <x:c r="B7" s="1301"/>
      <x:c r="C7" s="1301"/>
      <x:c r="D7" s="1301"/>
      <x:c r="E7" s="1099">
        <x:f>SUM(E9:E11)</x:f>
        <x:v>23</x:v>
      </x:c>
      <x:c r="F7" s="1099">
        <x:f t="shared" ref="F7:P7" si="0">SUM(F9:F11)</x:f>
        <x:v>24</x:v>
      </x:c>
      <x:c r="G7" s="1099">
        <x:f t="shared" si="0"/>
        <x:v>24</x:v>
      </x:c>
      <x:c r="H7" s="1099">
        <x:f t="shared" si="0"/>
        <x:v>24</x:v>
      </x:c>
      <x:c r="I7" s="1099">
        <x:f t="shared" si="0"/>
        <x:v>24</x:v>
      </x:c>
      <x:c r="J7" s="1099">
        <x:f t="shared" si="0"/>
        <x:v>24</x:v>
      </x:c>
      <x:c r="K7" s="1099">
        <x:f t="shared" si="0"/>
        <x:v>25</x:v>
      </x:c>
      <x:c r="L7" s="1099">
        <x:f t="shared" si="0"/>
        <x:v>27</x:v>
      </x:c>
      <x:c r="M7" s="1099">
        <x:f t="shared" si="0"/>
        <x:v>27</x:v>
      </x:c>
      <x:c r="N7" s="1099">
        <x:f t="shared" si="0"/>
        <x:v>27</x:v>
      </x:c>
      <x:c r="O7" s="1099">
        <x:f t="shared" si="0"/>
        <x:v>27</x:v>
      </x:c>
      <x:c r="P7" s="1099">
        <x:f t="shared" si="0"/>
        <x:v>27</x:v>
      </x:c>
    </x:row>
    <x:row r="8" spans="1:16" ht="31.15" customHeight="1" thickBot="1">
      <x:c r="A8" s="1302" t="s">
        <x:v>235</x:v>
      </x:c>
      <x:c r="B8" s="1302"/>
      <x:c r="C8" s="1302"/>
      <x:c r="D8" s="1302"/>
      <x:c r="E8" s="156">
        <x:v>1</x:v>
      </x:c>
      <x:c r="F8" s="156">
        <x:v>1</x:v>
      </x:c>
      <x:c r="G8" s="156"/>
      <x:c r="H8" s="156"/>
      <x:c r="I8" s="156"/>
      <x:c r="J8" s="156"/>
      <x:c r="K8" s="156">
        <x:v>1</x:v>
      </x:c>
      <x:c r="L8" s="156">
        <x:v>2</x:v>
      </x:c>
      <x:c r="M8" s="156"/>
      <x:c r="N8" s="156"/>
      <x:c r="O8" s="156"/>
      <x:c r="P8" s="156"/>
    </x:row>
    <x:row r="9" spans="1:16" ht="20.45" customHeight="1" thickTop="1">
      <x:c r="A9" s="1281" t="s">
        <x:v>231</x:v>
      </x:c>
      <x:c r="B9" s="1281"/>
      <x:c r="C9" s="1281"/>
      <x:c r="D9" s="1281"/>
      <x:c r="E9" s="155">
        <x:f>SUM(E13,E14,E36)</x:f>
        <x:v>2</x:v>
      </x:c>
      <x:c r="F9" s="155">
        <x:f t="shared" ref="F9:P9" si="1">SUM(F13,F14,F36)</x:f>
        <x:v>2</x:v>
      </x:c>
      <x:c r="G9" s="155">
        <x:f t="shared" si="1"/>
        <x:v>2</x:v>
      </x:c>
      <x:c r="H9" s="155">
        <x:f t="shared" si="1"/>
        <x:v>2</x:v>
      </x:c>
      <x:c r="I9" s="155">
        <x:f t="shared" si="1"/>
        <x:v>2</x:v>
      </x:c>
      <x:c r="J9" s="155">
        <x:f t="shared" si="1"/>
        <x:v>2</x:v>
      </x:c>
      <x:c r="K9" s="155">
        <x:f t="shared" si="1"/>
        <x:v>3</x:v>
      </x:c>
      <x:c r="L9" s="155">
        <x:f t="shared" si="1"/>
        <x:v>3</x:v>
      </x:c>
      <x:c r="M9" s="155">
        <x:f t="shared" si="1"/>
        <x:v>3</x:v>
      </x:c>
      <x:c r="N9" s="155">
        <x:f t="shared" si="1"/>
        <x:v>3</x:v>
      </x:c>
      <x:c r="O9" s="155">
        <x:f t="shared" si="1"/>
        <x:v>3</x:v>
      </x:c>
      <x:c r="P9" s="155">
        <x:f t="shared" si="1"/>
        <x:v>3</x:v>
      </x:c>
    </x:row>
    <x:row r="10" spans="1:16" ht="20.45" customHeight="1">
      <x:c r="A10" s="1281" t="s">
        <x:v>225</x:v>
      </x:c>
      <x:c r="B10" s="1281"/>
      <x:c r="C10" s="1281"/>
      <x:c r="D10" s="1281"/>
      <x:c r="E10" s="155">
        <x:f>SUM(E15:E23)+SUM(E37,E38)</x:f>
        <x:v>10</x:v>
      </x:c>
      <x:c r="F10" s="155">
        <x:f t="shared" ref="F10:I10" si="2">SUM(F15:F23)+SUM(F37,F38)</x:f>
        <x:v>11</x:v>
      </x:c>
      <x:c r="G10" s="155">
        <x:f t="shared" si="2"/>
        <x:v>11</x:v>
      </x:c>
      <x:c r="H10" s="155">
        <x:f t="shared" si="2"/>
        <x:v>11</x:v>
      </x:c>
      <x:c r="I10" s="155">
        <x:f t="shared" si="2"/>
        <x:v>11</x:v>
      </x:c>
      <x:c r="J10" s="155">
        <x:f>SUM(J15:J23)+SUM(J37,J38)</x:f>
        <x:v>11</x:v>
      </x:c>
      <x:c r="K10" s="155">
        <x:f t="shared" ref="K10:P10" si="3">SUM(K15:K23)+SUM(K37,K38)</x:f>
        <x:v>11</x:v>
      </x:c>
      <x:c r="L10" s="155">
        <x:f t="shared" si="3"/>
        <x:v>11</x:v>
      </x:c>
      <x:c r="M10" s="155">
        <x:f t="shared" si="3"/>
        <x:v>11</x:v>
      </x:c>
      <x:c r="N10" s="155">
        <x:f t="shared" si="3"/>
        <x:v>11</x:v>
      </x:c>
      <x:c r="O10" s="155">
        <x:f t="shared" si="3"/>
        <x:v>11</x:v>
      </x:c>
      <x:c r="P10" s="155">
        <x:f t="shared" si="3"/>
        <x:v>11</x:v>
      </x:c>
    </x:row>
    <x:row r="11" spans="1:16" ht="20.45" customHeight="1">
      <x:c r="A11" s="1315" t="s">
        <x:v>226</x:v>
      </x:c>
      <x:c r="B11" s="1315"/>
      <x:c r="C11" s="1315"/>
      <x:c r="D11" s="1315"/>
      <x:c r="E11" s="154">
        <x:f>SUM(E24:E34)+SUM(E39,E40)</x:f>
        <x:v>11</x:v>
      </x:c>
      <x:c r="F11" s="154">
        <x:f t="shared" ref="F11:O11" si="4">SUM(F24:F34)+SUM(F39,F40)</x:f>
        <x:v>11</x:v>
      </x:c>
      <x:c r="G11" s="154">
        <x:f t="shared" si="4"/>
        <x:v>11</x:v>
      </x:c>
      <x:c r="H11" s="154">
        <x:f t="shared" si="4"/>
        <x:v>11</x:v>
      </x:c>
      <x:c r="I11" s="154">
        <x:f t="shared" si="4"/>
        <x:v>11</x:v>
      </x:c>
      <x:c r="J11" s="154">
        <x:f t="shared" si="4"/>
        <x:v>11</x:v>
      </x:c>
      <x:c r="K11" s="154">
        <x:f t="shared" si="4"/>
        <x:v>11</x:v>
      </x:c>
      <x:c r="L11" s="154">
        <x:f t="shared" si="4"/>
        <x:v>13</x:v>
      </x:c>
      <x:c r="M11" s="154">
        <x:f t="shared" si="4"/>
        <x:v>13</x:v>
      </x:c>
      <x:c r="N11" s="154">
        <x:f t="shared" si="4"/>
        <x:v>13</x:v>
      </x:c>
      <x:c r="O11" s="154">
        <x:f t="shared" si="4"/>
        <x:v>13</x:v>
      </x:c>
      <x:c r="P11" s="154">
        <x:f>SUM(P24:P34)+SUM(P39,P40)</x:f>
        <x:v>13</x:v>
      </x:c>
    </x:row>
    <x:row r="12" spans="1:16" ht="4.1500000000000004" customHeight="1" thickBot="1">
      <x:c r="A12" s="1101"/>
      <x:c r="B12" s="1102"/>
      <x:c r="C12" s="1102"/>
      <x:c r="D12" s="1103"/>
      <x:c r="E12" s="1104"/>
      <x:c r="F12" s="1104"/>
      <x:c r="G12" s="1105"/>
      <x:c r="H12" s="1105"/>
      <x:c r="I12" s="1105"/>
      <x:c r="J12" s="1106"/>
      <x:c r="K12" s="1106"/>
      <x:c r="L12" s="1106"/>
      <x:c r="M12" s="1106"/>
      <x:c r="N12" s="1106"/>
      <x:c r="O12" s="1106"/>
      <x:c r="P12" s="1107"/>
    </x:row>
    <x:row r="13" spans="1:16" ht="18.600000000000001" customHeight="1">
      <x:c r="A13" s="1303" t="s">
        <x:v>449</x:v>
      </x:c>
      <x:c r="B13" s="1108" t="s">
        <x:v>236</x:v>
      </x:c>
      <x:c r="C13" s="1109" t="s">
        <x:v>237</x:v>
      </x:c>
      <x:c r="D13" s="1110" t="s">
        <x:v>231</x:v>
      </x:c>
      <x:c r="E13" s="1108">
        <x:v>1</x:v>
      </x:c>
      <x:c r="F13" s="1109">
        <x:v>1</x:v>
      </x:c>
      <x:c r="G13" s="1109">
        <x:v>1</x:v>
      </x:c>
      <x:c r="H13" s="1109">
        <x:v>1</x:v>
      </x:c>
      <x:c r="I13" s="1109">
        <x:v>1</x:v>
      </x:c>
      <x:c r="J13" s="1109">
        <x:v>1</x:v>
      </x:c>
      <x:c r="K13" s="1109">
        <x:v>1</x:v>
      </x:c>
      <x:c r="L13" s="1109">
        <x:v>1</x:v>
      </x:c>
      <x:c r="M13" s="1109">
        <x:v>1</x:v>
      </x:c>
      <x:c r="N13" s="1109">
        <x:v>1</x:v>
      </x:c>
      <x:c r="O13" s="1109">
        <x:v>1</x:v>
      </x:c>
      <x:c r="P13" s="1110">
        <x:v>1</x:v>
      </x:c>
    </x:row>
    <x:row r="14" spans="1:16" ht="18.600000000000001" customHeight="1">
      <x:c r="A14" s="1304"/>
      <x:c r="B14" s="1111" t="s">
        <x:v>238</x:v>
      </x:c>
      <x:c r="C14" s="1112" t="s">
        <x:v>239</x:v>
      </x:c>
      <x:c r="D14" s="1113" t="s">
        <x:v>231</x:v>
      </x:c>
      <x:c r="E14" s="1111">
        <x:v>1</x:v>
      </x:c>
      <x:c r="F14" s="1112">
        <x:v>1</x:v>
      </x:c>
      <x:c r="G14" s="1112">
        <x:v>1</x:v>
      </x:c>
      <x:c r="H14" s="1112">
        <x:v>1</x:v>
      </x:c>
      <x:c r="I14" s="1112">
        <x:v>1</x:v>
      </x:c>
      <x:c r="J14" s="1112">
        <x:v>1</x:v>
      </x:c>
      <x:c r="K14" s="1112">
        <x:v>1</x:v>
      </x:c>
      <x:c r="L14" s="1112">
        <x:v>1</x:v>
      </x:c>
      <x:c r="M14" s="1112">
        <x:v>1</x:v>
      </x:c>
      <x:c r="N14" s="1112">
        <x:v>1</x:v>
      </x:c>
      <x:c r="O14" s="1112">
        <x:v>1</x:v>
      </x:c>
      <x:c r="P14" s="1113">
        <x:v>1</x:v>
      </x:c>
    </x:row>
    <x:row r="15" spans="1:16" ht="18.600000000000001" customHeight="1">
      <x:c r="A15" s="1304"/>
      <x:c r="B15" s="1307" t="s">
        <x:v>240</x:v>
      </x:c>
      <x:c r="C15" s="1112" t="s">
        <x:v>241</x:v>
      </x:c>
      <x:c r="D15" s="1113" t="s">
        <x:v>242</x:v>
      </x:c>
      <x:c r="E15" s="1111">
        <x:v>1</x:v>
      </x:c>
      <x:c r="F15" s="1112">
        <x:v>1</x:v>
      </x:c>
      <x:c r="G15" s="1112">
        <x:v>1</x:v>
      </x:c>
      <x:c r="H15" s="1112">
        <x:v>1</x:v>
      </x:c>
      <x:c r="I15" s="1112">
        <x:v>1</x:v>
      </x:c>
      <x:c r="J15" s="1112">
        <x:v>1</x:v>
      </x:c>
      <x:c r="K15" s="1112">
        <x:v>1</x:v>
      </x:c>
      <x:c r="L15" s="1112">
        <x:v>1</x:v>
      </x:c>
      <x:c r="M15" s="1112">
        <x:v>1</x:v>
      </x:c>
      <x:c r="N15" s="1112">
        <x:v>1</x:v>
      </x:c>
      <x:c r="O15" s="1112">
        <x:v>1</x:v>
      </x:c>
      <x:c r="P15" s="1113">
        <x:v>1</x:v>
      </x:c>
    </x:row>
    <x:row r="16" spans="1:16" ht="18.600000000000001" customHeight="1">
      <x:c r="A16" s="1304"/>
      <x:c r="B16" s="1318"/>
      <x:c r="C16" s="1112" t="s">
        <x:v>243</x:v>
      </x:c>
      <x:c r="D16" s="1113" t="s">
        <x:v>250</x:v>
      </x:c>
      <x:c r="E16" s="1111">
        <x:v>1</x:v>
      </x:c>
      <x:c r="F16" s="1112">
        <x:v>1</x:v>
      </x:c>
      <x:c r="G16" s="1112">
        <x:v>1</x:v>
      </x:c>
      <x:c r="H16" s="1112">
        <x:v>1</x:v>
      </x:c>
      <x:c r="I16" s="1112">
        <x:v>1</x:v>
      </x:c>
      <x:c r="J16" s="1112">
        <x:v>1</x:v>
      </x:c>
      <x:c r="K16" s="1112">
        <x:v>1</x:v>
      </x:c>
      <x:c r="L16" s="1112">
        <x:v>1</x:v>
      </x:c>
      <x:c r="M16" s="1112">
        <x:v>1</x:v>
      </x:c>
      <x:c r="N16" s="1112">
        <x:v>1</x:v>
      </x:c>
      <x:c r="O16" s="1112">
        <x:v>1</x:v>
      </x:c>
      <x:c r="P16" s="1113">
        <x:v>1</x:v>
      </x:c>
    </x:row>
    <x:row r="17" spans="1:16" ht="18.600000000000001" customHeight="1">
      <x:c r="A17" s="1304"/>
      <x:c r="B17" s="1319"/>
      <x:c r="C17" s="1112" t="s">
        <x:v>448</x:v>
      </x:c>
      <x:c r="D17" s="1113" t="s">
        <x:v>248</x:v>
      </x:c>
      <x:c r="E17" s="1111">
        <x:v>1</x:v>
      </x:c>
      <x:c r="F17" s="1112">
        <x:v>1</x:v>
      </x:c>
      <x:c r="G17" s="1112">
        <x:v>1</x:v>
      </x:c>
      <x:c r="H17" s="1112">
        <x:v>1</x:v>
      </x:c>
      <x:c r="I17" s="1112">
        <x:v>1</x:v>
      </x:c>
      <x:c r="J17" s="1112">
        <x:v>1</x:v>
      </x:c>
      <x:c r="K17" s="1112">
        <x:v>1</x:v>
      </x:c>
      <x:c r="L17" s="1112">
        <x:v>1</x:v>
      </x:c>
      <x:c r="M17" s="1112">
        <x:v>1</x:v>
      </x:c>
      <x:c r="N17" s="1112">
        <x:v>1</x:v>
      </x:c>
      <x:c r="O17" s="1112">
        <x:v>1</x:v>
      </x:c>
      <x:c r="P17" s="1113">
        <x:v>1</x:v>
      </x:c>
    </x:row>
    <x:row r="18" spans="1:16" ht="18.600000000000001" customHeight="1">
      <x:c r="A18" s="1304"/>
      <x:c r="B18" s="1307" t="s">
        <x:v>245</x:v>
      </x:c>
      <x:c r="C18" s="1112" t="s">
        <x:v>246</x:v>
      </x:c>
      <x:c r="D18" s="1113" t="s">
        <x:v>247</x:v>
      </x:c>
      <x:c r="E18" s="1111">
        <x:v>1</x:v>
      </x:c>
      <x:c r="F18" s="1112">
        <x:v>1</x:v>
      </x:c>
      <x:c r="G18" s="1112">
        <x:v>1</x:v>
      </x:c>
      <x:c r="H18" s="1112">
        <x:v>1</x:v>
      </x:c>
      <x:c r="I18" s="1112">
        <x:v>1</x:v>
      </x:c>
      <x:c r="J18" s="1112">
        <x:v>1</x:v>
      </x:c>
      <x:c r="K18" s="1112">
        <x:v>1</x:v>
      </x:c>
      <x:c r="L18" s="1112">
        <x:v>1</x:v>
      </x:c>
      <x:c r="M18" s="1112">
        <x:v>1</x:v>
      </x:c>
      <x:c r="N18" s="1112">
        <x:v>1</x:v>
      </x:c>
      <x:c r="O18" s="1112">
        <x:v>1</x:v>
      </x:c>
      <x:c r="P18" s="1113">
        <x:v>1</x:v>
      </x:c>
    </x:row>
    <x:row r="19" spans="1:16" ht="18.600000000000001" customHeight="1">
      <x:c r="A19" s="1304"/>
      <x:c r="B19" s="1318"/>
      <x:c r="C19" s="1112" t="s">
        <x:v>1514</x:v>
      </x:c>
      <x:c r="D19" s="1113" t="s">
        <x:v>250</x:v>
      </x:c>
      <x:c r="E19" s="1111">
        <x:v>1</x:v>
      </x:c>
      <x:c r="F19" s="1112">
        <x:v>1</x:v>
      </x:c>
      <x:c r="G19" s="1112">
        <x:v>1</x:v>
      </x:c>
      <x:c r="H19" s="1112">
        <x:v>1</x:v>
      </x:c>
      <x:c r="I19" s="1112">
        <x:v>1</x:v>
      </x:c>
      <x:c r="J19" s="1112">
        <x:v>1</x:v>
      </x:c>
      <x:c r="K19" s="1112">
        <x:v>1</x:v>
      </x:c>
      <x:c r="L19" s="1112">
        <x:v>1</x:v>
      </x:c>
      <x:c r="M19" s="1112">
        <x:v>1</x:v>
      </x:c>
      <x:c r="N19" s="1112">
        <x:v>1</x:v>
      </x:c>
      <x:c r="O19" s="1112">
        <x:v>1</x:v>
      </x:c>
      <x:c r="P19" s="1113">
        <x:v>1</x:v>
      </x:c>
    </x:row>
    <x:row r="20" spans="1:16" ht="18.600000000000001" customHeight="1">
      <x:c r="A20" s="1304"/>
      <x:c r="B20" s="1319"/>
      <x:c r="C20" s="1112" t="s">
        <x:v>442</x:v>
      </x:c>
      <x:c r="D20" s="1113" t="s">
        <x:v>443</x:v>
      </x:c>
      <x:c r="E20" s="1111">
        <x:v>1</x:v>
      </x:c>
      <x:c r="F20" s="1112">
        <x:v>1</x:v>
      </x:c>
      <x:c r="G20" s="1112">
        <x:v>1</x:v>
      </x:c>
      <x:c r="H20" s="1112">
        <x:v>1</x:v>
      </x:c>
      <x:c r="I20" s="1112">
        <x:v>1</x:v>
      </x:c>
      <x:c r="J20" s="1112">
        <x:v>1</x:v>
      </x:c>
      <x:c r="K20" s="1112">
        <x:v>1</x:v>
      </x:c>
      <x:c r="L20" s="1112">
        <x:v>1</x:v>
      </x:c>
      <x:c r="M20" s="1112">
        <x:v>1</x:v>
      </x:c>
      <x:c r="N20" s="1112">
        <x:v>1</x:v>
      </x:c>
      <x:c r="O20" s="1112">
        <x:v>1</x:v>
      </x:c>
      <x:c r="P20" s="1113">
        <x:v>1</x:v>
      </x:c>
    </x:row>
    <x:row r="21" spans="1:16" ht="18.600000000000001" customHeight="1">
      <x:c r="A21" s="1304"/>
      <x:c r="B21" s="1308" t="s">
        <x:v>249</x:v>
      </x:c>
      <x:c r="C21" s="1112" t="s">
        <x:v>444</x:v>
      </x:c>
      <x:c r="D21" s="1113" t="s">
        <x:v>250</x:v>
      </x:c>
      <x:c r="E21" s="1111">
        <x:v>1</x:v>
      </x:c>
      <x:c r="F21" s="1112">
        <x:v>1</x:v>
      </x:c>
      <x:c r="G21" s="1112">
        <x:v>1</x:v>
      </x:c>
      <x:c r="H21" s="1112">
        <x:v>1</x:v>
      </x:c>
      <x:c r="I21" s="1112">
        <x:v>1</x:v>
      </x:c>
      <x:c r="J21" s="1112">
        <x:v>1</x:v>
      </x:c>
      <x:c r="K21" s="1112">
        <x:v>1</x:v>
      </x:c>
      <x:c r="L21" s="1112">
        <x:v>1</x:v>
      </x:c>
      <x:c r="M21" s="1112">
        <x:v>1</x:v>
      </x:c>
      <x:c r="N21" s="1112">
        <x:v>1</x:v>
      </x:c>
      <x:c r="O21" s="1112">
        <x:v>1</x:v>
      </x:c>
      <x:c r="P21" s="1113">
        <x:v>1</x:v>
      </x:c>
    </x:row>
    <x:row r="22" spans="1:16" ht="18.600000000000001" customHeight="1">
      <x:c r="A22" s="1304"/>
      <x:c r="B22" s="1309"/>
      <x:c r="C22" s="1115" t="s">
        <x:v>1481</x:v>
      </x:c>
      <x:c r="D22" s="1113" t="s">
        <x:v>443</x:v>
      </x:c>
      <x:c r="E22" s="1116">
        <x:v>1</x:v>
      </x:c>
      <x:c r="F22" s="1115">
        <x:v>1</x:v>
      </x:c>
      <x:c r="G22" s="1115">
        <x:v>1</x:v>
      </x:c>
      <x:c r="H22" s="1115">
        <x:v>1</x:v>
      </x:c>
      <x:c r="I22" s="1115">
        <x:v>1</x:v>
      </x:c>
      <x:c r="J22" s="1115">
        <x:v>1</x:v>
      </x:c>
      <x:c r="K22" s="1115">
        <x:v>1</x:v>
      </x:c>
      <x:c r="L22" s="1115">
        <x:v>1</x:v>
      </x:c>
      <x:c r="M22" s="1115">
        <x:v>1</x:v>
      </x:c>
      <x:c r="N22" s="1115">
        <x:v>1</x:v>
      </x:c>
      <x:c r="O22" s="1115">
        <x:v>1</x:v>
      </x:c>
      <x:c r="P22" s="1115">
        <x:v>1</x:v>
      </x:c>
    </x:row>
    <x:row r="23" spans="1:16" ht="18.600000000000001" customHeight="1">
      <x:c r="A23" s="1304"/>
      <x:c r="B23" s="1310"/>
      <x:c r="C23" s="1112" t="s">
        <x:v>1203</x:v>
      </x:c>
      <x:c r="D23" s="1113" t="s">
        <x:v>247</x:v>
      </x:c>
      <x:c r="E23" s="1111">
        <x:v>1</x:v>
      </x:c>
      <x:c r="F23" s="1112">
        <x:v>1</x:v>
      </x:c>
      <x:c r="G23" s="1112">
        <x:v>1</x:v>
      </x:c>
      <x:c r="H23" s="1112">
        <x:v>1</x:v>
      </x:c>
      <x:c r="I23" s="1112">
        <x:v>1</x:v>
      </x:c>
      <x:c r="J23" s="1112">
        <x:v>1</x:v>
      </x:c>
      <x:c r="K23" s="1112">
        <x:v>1</x:v>
      </x:c>
      <x:c r="L23" s="1112">
        <x:v>1</x:v>
      </x:c>
      <x:c r="M23" s="1112">
        <x:v>1</x:v>
      </x:c>
      <x:c r="N23" s="1112">
        <x:v>1</x:v>
      </x:c>
      <x:c r="O23" s="1112">
        <x:v>1</x:v>
      </x:c>
      <x:c r="P23" s="1113">
        <x:v>1</x:v>
      </x:c>
    </x:row>
    <x:row r="24" spans="1:16" ht="18.600000000000001" customHeight="1">
      <x:c r="A24" s="1304"/>
      <x:c r="B24" s="1306" t="s">
        <x:v>251</x:v>
      </x:c>
      <x:c r="C24" s="1112" t="s">
        <x:v>252</x:v>
      </x:c>
      <x:c r="D24" s="1113" t="s">
        <x:v>242</x:v>
      </x:c>
      <x:c r="E24" s="1111">
        <x:v>1</x:v>
      </x:c>
      <x:c r="F24" s="1112">
        <x:v>1</x:v>
      </x:c>
      <x:c r="G24" s="1112">
        <x:v>1</x:v>
      </x:c>
      <x:c r="H24" s="1112">
        <x:v>1</x:v>
      </x:c>
      <x:c r="I24" s="1112">
        <x:v>1</x:v>
      </x:c>
      <x:c r="J24" s="1112">
        <x:v>1</x:v>
      </x:c>
      <x:c r="K24" s="1112">
        <x:v>1</x:v>
      </x:c>
      <x:c r="L24" s="1112">
        <x:v>1</x:v>
      </x:c>
      <x:c r="M24" s="1112">
        <x:v>1</x:v>
      </x:c>
      <x:c r="N24" s="1112">
        <x:v>1</x:v>
      </x:c>
      <x:c r="O24" s="1112">
        <x:v>1</x:v>
      </x:c>
      <x:c r="P24" s="1113">
        <x:v>1</x:v>
      </x:c>
    </x:row>
    <x:row r="25" spans="1:16" ht="18.600000000000001" customHeight="1">
      <x:c r="A25" s="1304"/>
      <x:c r="B25" s="1306"/>
      <x:c r="C25" s="1112" t="s">
        <x:v>253</x:v>
      </x:c>
      <x:c r="D25" s="1113" t="s">
        <x:v>247</x:v>
      </x:c>
      <x:c r="E25" s="1111">
        <x:v>1</x:v>
      </x:c>
      <x:c r="F25" s="1112">
        <x:v>1</x:v>
      </x:c>
      <x:c r="G25" s="1112">
        <x:v>1</x:v>
      </x:c>
      <x:c r="H25" s="1112">
        <x:v>1</x:v>
      </x:c>
      <x:c r="I25" s="1112">
        <x:v>1</x:v>
      </x:c>
      <x:c r="J25" s="1112">
        <x:v>1</x:v>
      </x:c>
      <x:c r="K25" s="1112">
        <x:v>1</x:v>
      </x:c>
      <x:c r="L25" s="1112">
        <x:v>1</x:v>
      </x:c>
      <x:c r="M25" s="1112">
        <x:v>1</x:v>
      </x:c>
      <x:c r="N25" s="1112">
        <x:v>1</x:v>
      </x:c>
      <x:c r="O25" s="1112">
        <x:v>1</x:v>
      </x:c>
      <x:c r="P25" s="1113">
        <x:v>1</x:v>
      </x:c>
    </x:row>
    <x:row r="26" spans="1:16" ht="18.600000000000001" customHeight="1">
      <x:c r="A26" s="1304"/>
      <x:c r="B26" s="1306"/>
      <x:c r="C26" s="1112" t="s">
        <x:v>1515</x:v>
      </x:c>
      <x:c r="D26" s="1113" t="s">
        <x:v>443</x:v>
      </x:c>
      <x:c r="E26" s="1111">
        <x:v>1</x:v>
      </x:c>
      <x:c r="F26" s="1112">
        <x:v>1</x:v>
      </x:c>
      <x:c r="G26" s="1112">
        <x:v>1</x:v>
      </x:c>
      <x:c r="H26" s="1112">
        <x:v>1</x:v>
      </x:c>
      <x:c r="I26" s="1112">
        <x:v>1</x:v>
      </x:c>
      <x:c r="J26" s="1112">
        <x:v>1</x:v>
      </x:c>
      <x:c r="K26" s="1112">
        <x:v>1</x:v>
      </x:c>
      <x:c r="L26" s="1112">
        <x:v>1</x:v>
      </x:c>
      <x:c r="M26" s="1112">
        <x:v>1</x:v>
      </x:c>
      <x:c r="N26" s="1112">
        <x:v>1</x:v>
      </x:c>
      <x:c r="O26" s="1112">
        <x:v>1</x:v>
      </x:c>
      <x:c r="P26" s="1113">
        <x:v>1</x:v>
      </x:c>
    </x:row>
    <x:row r="27" spans="1:16" ht="18.600000000000001" customHeight="1">
      <x:c r="A27" s="1304"/>
      <x:c r="B27" s="1306"/>
      <x:c r="C27" s="1112" t="s">
        <x:v>254</x:v>
      </x:c>
      <x:c r="D27" s="1113" t="s">
        <x:v>244</x:v>
      </x:c>
      <x:c r="E27" s="1111">
        <x:v>1</x:v>
      </x:c>
      <x:c r="F27" s="1112">
        <x:v>1</x:v>
      </x:c>
      <x:c r="G27" s="1112">
        <x:v>1</x:v>
      </x:c>
      <x:c r="H27" s="1112">
        <x:v>1</x:v>
      </x:c>
      <x:c r="I27" s="1112">
        <x:v>1</x:v>
      </x:c>
      <x:c r="J27" s="1112">
        <x:v>1</x:v>
      </x:c>
      <x:c r="K27" s="1112">
        <x:v>1</x:v>
      </x:c>
      <x:c r="L27" s="1112">
        <x:v>1</x:v>
      </x:c>
      <x:c r="M27" s="1112">
        <x:v>1</x:v>
      </x:c>
      <x:c r="N27" s="1112">
        <x:v>1</x:v>
      </x:c>
      <x:c r="O27" s="1112">
        <x:v>1</x:v>
      </x:c>
      <x:c r="P27" s="1113">
        <x:v>1</x:v>
      </x:c>
    </x:row>
    <x:row r="28" spans="1:16" ht="18.600000000000001" customHeight="1">
      <x:c r="A28" s="1304"/>
      <x:c r="B28" s="1307" t="s">
        <x:v>255</x:v>
      </x:c>
      <x:c r="C28" s="1112" t="s">
        <x:v>256</x:v>
      </x:c>
      <x:c r="D28" s="1113" t="s">
        <x:v>247</x:v>
      </x:c>
      <x:c r="E28" s="1111">
        <x:v>1</x:v>
      </x:c>
      <x:c r="F28" s="1112">
        <x:v>1</x:v>
      </x:c>
      <x:c r="G28" s="1112">
        <x:v>1</x:v>
      </x:c>
      <x:c r="H28" s="1112">
        <x:v>1</x:v>
      </x:c>
      <x:c r="I28" s="1112">
        <x:v>1</x:v>
      </x:c>
      <x:c r="J28" s="1112">
        <x:v>1</x:v>
      </x:c>
      <x:c r="K28" s="1112">
        <x:v>1</x:v>
      </x:c>
      <x:c r="L28" s="1112">
        <x:v>1</x:v>
      </x:c>
      <x:c r="M28" s="1112">
        <x:v>1</x:v>
      </x:c>
      <x:c r="N28" s="1112">
        <x:v>1</x:v>
      </x:c>
      <x:c r="O28" s="1112">
        <x:v>1</x:v>
      </x:c>
      <x:c r="P28" s="1113">
        <x:v>1</x:v>
      </x:c>
    </x:row>
    <x:row r="29" spans="1:16" ht="18.600000000000001" customHeight="1">
      <x:c r="A29" s="1304"/>
      <x:c r="B29" s="1319"/>
      <x:c r="C29" s="1112" t="s">
        <x:v>445</x:v>
      </x:c>
      <x:c r="D29" s="1113" t="s">
        <x:v>257</x:v>
      </x:c>
      <x:c r="E29" s="1111">
        <x:v>1</x:v>
      </x:c>
      <x:c r="F29" s="1112">
        <x:v>1</x:v>
      </x:c>
      <x:c r="G29" s="1112">
        <x:v>1</x:v>
      </x:c>
      <x:c r="H29" s="1112">
        <x:v>1</x:v>
      </x:c>
      <x:c r="I29" s="1112">
        <x:v>1</x:v>
      </x:c>
      <x:c r="J29" s="1112">
        <x:v>1</x:v>
      </x:c>
      <x:c r="K29" s="1112">
        <x:v>1</x:v>
      </x:c>
      <x:c r="L29" s="1112">
        <x:v>1</x:v>
      </x:c>
      <x:c r="M29" s="1112">
        <x:v>1</x:v>
      </x:c>
      <x:c r="N29" s="1112">
        <x:v>1</x:v>
      </x:c>
      <x:c r="O29" s="1112">
        <x:v>1</x:v>
      </x:c>
      <x:c r="P29" s="1113">
        <x:v>1</x:v>
      </x:c>
    </x:row>
    <x:row r="30" spans="1:16" ht="18.600000000000001" customHeight="1">
      <x:c r="A30" s="1304"/>
      <x:c r="B30" s="1306" t="s">
        <x:v>258</x:v>
      </x:c>
      <x:c r="C30" s="1112" t="s">
        <x:v>259</x:v>
      </x:c>
      <x:c r="D30" s="1113" t="s">
        <x:v>242</x:v>
      </x:c>
      <x:c r="E30" s="1111">
        <x:v>1</x:v>
      </x:c>
      <x:c r="F30" s="1112">
        <x:v>1</x:v>
      </x:c>
      <x:c r="G30" s="1112">
        <x:v>1</x:v>
      </x:c>
      <x:c r="H30" s="1112">
        <x:v>1</x:v>
      </x:c>
      <x:c r="I30" s="1112">
        <x:v>1</x:v>
      </x:c>
      <x:c r="J30" s="1112">
        <x:v>1</x:v>
      </x:c>
      <x:c r="K30" s="1112">
        <x:v>1</x:v>
      </x:c>
      <x:c r="L30" s="1112">
        <x:v>1</x:v>
      </x:c>
      <x:c r="M30" s="1112">
        <x:v>1</x:v>
      </x:c>
      <x:c r="N30" s="1112">
        <x:v>1</x:v>
      </x:c>
      <x:c r="O30" s="1112">
        <x:v>1</x:v>
      </x:c>
      <x:c r="P30" s="1113">
        <x:v>1</x:v>
      </x:c>
    </x:row>
    <x:row r="31" spans="1:16" ht="18.600000000000001" customHeight="1">
      <x:c r="A31" s="1304"/>
      <x:c r="B31" s="1306"/>
      <x:c r="C31" s="1112" t="s">
        <x:v>460</x:v>
      </x:c>
      <x:c r="D31" s="1113" t="s">
        <x:v>244</x:v>
      </x:c>
      <x:c r="E31" s="1111">
        <x:v>1</x:v>
      </x:c>
      <x:c r="F31" s="1112">
        <x:v>1</x:v>
      </x:c>
      <x:c r="G31" s="1112">
        <x:v>1</x:v>
      </x:c>
      <x:c r="H31" s="1112">
        <x:v>1</x:v>
      </x:c>
      <x:c r="I31" s="1112">
        <x:v>1</x:v>
      </x:c>
      <x:c r="J31" s="1112">
        <x:v>1</x:v>
      </x:c>
      <x:c r="K31" s="1112">
        <x:v>1</x:v>
      </x:c>
      <x:c r="L31" s="1112">
        <x:v>1</x:v>
      </x:c>
      <x:c r="M31" s="1112">
        <x:v>1</x:v>
      </x:c>
      <x:c r="N31" s="1112">
        <x:v>1</x:v>
      </x:c>
      <x:c r="O31" s="1112">
        <x:v>1</x:v>
      </x:c>
      <x:c r="P31" s="1113">
        <x:v>1</x:v>
      </x:c>
    </x:row>
    <x:row r="32" spans="1:16" ht="18.600000000000001" customHeight="1">
      <x:c r="A32" s="1304"/>
      <x:c r="B32" s="1306"/>
      <x:c r="C32" s="1100" t="s">
        <x:v>446</x:v>
      </x:c>
      <x:c r="D32" s="1113" t="s">
        <x:v>248</x:v>
      </x:c>
      <x:c r="E32" s="1111">
        <x:v>1</x:v>
      </x:c>
      <x:c r="F32" s="1112">
        <x:v>1</x:v>
      </x:c>
      <x:c r="G32" s="1112">
        <x:v>1</x:v>
      </x:c>
      <x:c r="H32" s="1112">
        <x:v>1</x:v>
      </x:c>
      <x:c r="I32" s="1112">
        <x:v>1</x:v>
      </x:c>
      <x:c r="J32" s="1112">
        <x:v>1</x:v>
      </x:c>
      <x:c r="K32" s="1112">
        <x:v>1</x:v>
      </x:c>
      <x:c r="L32" s="1112">
        <x:v>1</x:v>
      </x:c>
      <x:c r="M32" s="1112">
        <x:v>1</x:v>
      </x:c>
      <x:c r="N32" s="1112">
        <x:v>1</x:v>
      </x:c>
      <x:c r="O32" s="1112">
        <x:v>1</x:v>
      </x:c>
      <x:c r="P32" s="1113">
        <x:v>1</x:v>
      </x:c>
    </x:row>
    <x:row r="33" spans="1:16" ht="18.600000000000001" customHeight="1">
      <x:c r="A33" s="1304"/>
      <x:c r="B33" s="1306"/>
      <x:c r="C33" s="1100" t="s">
        <x:v>447</x:v>
      </x:c>
      <x:c r="D33" s="1113" t="s">
        <x:v>248</x:v>
      </x:c>
      <x:c r="E33" s="1111">
        <x:v>1</x:v>
      </x:c>
      <x:c r="F33" s="1112">
        <x:v>1</x:v>
      </x:c>
      <x:c r="G33" s="1112">
        <x:v>1</x:v>
      </x:c>
      <x:c r="H33" s="1112">
        <x:v>1</x:v>
      </x:c>
      <x:c r="I33" s="1112">
        <x:v>1</x:v>
      </x:c>
      <x:c r="J33" s="1112">
        <x:v>1</x:v>
      </x:c>
      <x:c r="K33" s="1112">
        <x:v>1</x:v>
      </x:c>
      <x:c r="L33" s="1112">
        <x:v>1</x:v>
      </x:c>
      <x:c r="M33" s="1112">
        <x:v>1</x:v>
      </x:c>
      <x:c r="N33" s="1112">
        <x:v>1</x:v>
      </x:c>
      <x:c r="O33" s="1112">
        <x:v>1</x:v>
      </x:c>
      <x:c r="P33" s="1113">
        <x:v>1</x:v>
      </x:c>
    </x:row>
    <x:row r="34" spans="1:16" ht="18.600000000000001" customHeight="1">
      <x:c r="A34" s="1305"/>
      <x:c r="B34" s="1307"/>
      <x:c r="C34" s="1117" t="s">
        <x:v>1516</x:v>
      </x:c>
      <x:c r="D34" s="1118" t="s">
        <x:v>248</x:v>
      </x:c>
      <x:c r="E34" s="1111">
        <x:v>1</x:v>
      </x:c>
      <x:c r="F34" s="1112">
        <x:v>1</x:v>
      </x:c>
      <x:c r="G34" s="1112">
        <x:v>1</x:v>
      </x:c>
      <x:c r="H34" s="1112">
        <x:v>1</x:v>
      </x:c>
      <x:c r="I34" s="1112">
        <x:v>1</x:v>
      </x:c>
      <x:c r="J34" s="1112">
        <x:v>1</x:v>
      </x:c>
      <x:c r="K34" s="1112">
        <x:v>1</x:v>
      </x:c>
      <x:c r="L34" s="1112">
        <x:v>1</x:v>
      </x:c>
      <x:c r="M34" s="1112">
        <x:v>1</x:v>
      </x:c>
      <x:c r="N34" s="1112">
        <x:v>1</x:v>
      </x:c>
      <x:c r="O34" s="1112">
        <x:v>1</x:v>
      </x:c>
      <x:c r="P34" s="1113">
        <x:v>1</x:v>
      </x:c>
    </x:row>
    <x:row r="35" spans="1:16" ht="4.9000000000000004" customHeight="1" thickBot="1">
      <x:c r="A35" s="1119"/>
      <x:c r="B35" s="1120"/>
      <x:c r="C35" s="1121"/>
      <x:c r="D35" s="1122"/>
      <x:c r="E35" s="1123"/>
      <x:c r="F35" s="1104"/>
      <x:c r="G35" s="1105"/>
      <x:c r="H35" s="1105"/>
      <x:c r="I35" s="1105"/>
      <x:c r="J35" s="1106"/>
      <x:c r="K35" s="1106"/>
      <x:c r="L35" s="1106"/>
      <x:c r="M35" s="1106"/>
      <x:c r="N35" s="1106"/>
      <x:c r="O35" s="1106"/>
      <x:c r="P35" s="1107"/>
    </x:row>
    <x:row r="36" spans="1:16" ht="21.6" customHeight="1">
      <x:c r="A36" s="1311" t="s">
        <x:v>451</x:v>
      </x:c>
      <x:c r="B36" s="1124" t="s">
        <x:v>452</x:v>
      </x:c>
      <x:c r="C36" s="1125" t="s">
        <x:v>260</x:v>
      </x:c>
      <x:c r="D36" s="1110" t="s">
        <x:v>242</x:v>
      </x:c>
      <x:c r="E36" s="1108"/>
      <x:c r="F36" s="1126"/>
      <x:c r="G36" s="1126"/>
      <x:c r="H36" s="1126"/>
      <x:c r="I36" s="1126"/>
      <x:c r="J36" s="1109"/>
      <x:c r="K36" s="1127">
        <x:v>1</x:v>
      </x:c>
      <x:c r="L36" s="1109">
        <x:v>1</x:v>
      </x:c>
      <x:c r="M36" s="1109">
        <x:v>1</x:v>
      </x:c>
      <x:c r="N36" s="1109">
        <x:v>1</x:v>
      </x:c>
      <x:c r="O36" s="1109">
        <x:v>1</x:v>
      </x:c>
      <x:c r="P36" s="1110">
        <x:v>1</x:v>
      </x:c>
    </x:row>
    <x:row r="37" spans="1:16" ht="21.6" customHeight="1">
      <x:c r="A37" s="1312"/>
      <x:c r="B37" s="1128" t="s">
        <x:v>455</x:v>
      </x:c>
      <x:c r="C37" s="1112" t="s">
        <x:v>191</x:v>
      </x:c>
      <x:c r="D37" s="1113" t="s">
        <x:v>244</x:v>
      </x:c>
      <x:c r="E37" s="1114"/>
      <x:c r="F37" s="1127">
        <x:v>1</x:v>
      </x:c>
      <x:c r="G37" s="1112">
        <x:v>1</x:v>
      </x:c>
      <x:c r="H37" s="1112">
        <x:v>1</x:v>
      </x:c>
      <x:c r="I37" s="1112">
        <x:v>1</x:v>
      </x:c>
      <x:c r="J37" s="1112">
        <x:v>1</x:v>
      </x:c>
      <x:c r="K37" s="1112">
        <x:v>1</x:v>
      </x:c>
      <x:c r="L37" s="1112">
        <x:v>1</x:v>
      </x:c>
      <x:c r="M37" s="1112">
        <x:v>1</x:v>
      </x:c>
      <x:c r="N37" s="1112">
        <x:v>1</x:v>
      </x:c>
      <x:c r="O37" s="1112">
        <x:v>1</x:v>
      </x:c>
      <x:c r="P37" s="1112">
        <x:v>1</x:v>
      </x:c>
    </x:row>
    <x:row r="38" spans="1:16" ht="21.6" customHeight="1">
      <x:c r="A38" s="1312"/>
      <x:c r="B38" s="1111" t="s">
        <x:v>1194</x:v>
      </x:c>
      <x:c r="C38" s="1112" t="s">
        <x:v>191</x:v>
      </x:c>
      <x:c r="D38" s="1113" t="s">
        <x:v>244</x:v>
      </x:c>
      <x:c r="E38" s="1127">
        <x:v>1</x:v>
      </x:c>
      <x:c r="F38" s="1112">
        <x:v>1</x:v>
      </x:c>
      <x:c r="G38" s="1112">
        <x:v>1</x:v>
      </x:c>
      <x:c r="H38" s="1112">
        <x:v>1</x:v>
      </x:c>
      <x:c r="I38" s="1112">
        <x:v>1</x:v>
      </x:c>
      <x:c r="J38" s="1112">
        <x:v>1</x:v>
      </x:c>
      <x:c r="K38" s="1112">
        <x:v>1</x:v>
      </x:c>
      <x:c r="L38" s="1112">
        <x:v>1</x:v>
      </x:c>
      <x:c r="M38" s="1112">
        <x:v>1</x:v>
      </x:c>
      <x:c r="N38" s="1112">
        <x:v>1</x:v>
      </x:c>
      <x:c r="O38" s="1112">
        <x:v>1</x:v>
      </x:c>
      <x:c r="P38" s="1113">
        <x:v>1</x:v>
      </x:c>
    </x:row>
    <x:row r="39" spans="1:16" ht="21.6" customHeight="1">
      <x:c r="A39" s="1312"/>
      <x:c r="B39" s="1111" t="s">
        <x:v>251</x:v>
      </x:c>
      <x:c r="C39" s="1112" t="s">
        <x:v>191</x:v>
      </x:c>
      <x:c r="D39" s="1113" t="s">
        <x:v>244</x:v>
      </x:c>
      <x:c r="E39" s="1111"/>
      <x:c r="F39" s="1127"/>
      <x:c r="G39" s="1127"/>
      <x:c r="H39" s="1112"/>
      <x:c r="I39" s="1112"/>
      <x:c r="J39" s="1112"/>
      <x:c r="K39" s="1112"/>
      <x:c r="L39" s="1127">
        <x:v>1</x:v>
      </x:c>
      <x:c r="M39" s="1112">
        <x:v>1</x:v>
      </x:c>
      <x:c r="N39" s="1112">
        <x:v>1</x:v>
      </x:c>
      <x:c r="O39" s="1112">
        <x:v>1</x:v>
      </x:c>
      <x:c r="P39" s="1112">
        <x:v>1</x:v>
      </x:c>
    </x:row>
    <x:row r="40" spans="1:16" ht="21.6" customHeight="1" thickBot="1">
      <x:c r="A40" s="1313"/>
      <x:c r="B40" s="1129" t="s">
        <x:v>251</x:v>
      </x:c>
      <x:c r="C40" s="1130" t="s">
        <x:v>191</x:v>
      </x:c>
      <x:c r="D40" s="1131" t="s">
        <x:v>244</x:v>
      </x:c>
      <x:c r="E40" s="1129"/>
      <x:c r="F40" s="1132"/>
      <x:c r="G40" s="1130"/>
      <x:c r="H40" s="1130"/>
      <x:c r="I40" s="1130"/>
      <x:c r="J40" s="1130"/>
      <x:c r="K40" s="1130"/>
      <x:c r="L40" s="1132">
        <x:v>1</x:v>
      </x:c>
      <x:c r="M40" s="1130">
        <x:v>1</x:v>
      </x:c>
      <x:c r="N40" s="1130">
        <x:v>1</x:v>
      </x:c>
      <x:c r="O40" s="1130">
        <x:v>1</x:v>
      </x:c>
      <x:c r="P40" s="1130">
        <x:v>1</x:v>
      </x:c>
    </x:row>
    <x:row r="41" spans="1:16" ht="9.6" customHeight="1">
      <x:c r="A41" s="35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</x:row>
    <x:row r="42" spans="1:16" ht="17.649999999999999" customHeight="1">
      <x:c r="A42" s="38"/>
      <x:c r="B42" s="152" t="s">
        <x:v>457</x:v>
      </x:c>
      <x:c r="C42" s="38"/>
      <x:c r="D42" s="38"/>
      <x:c r="G42" s="31"/>
      <x:c r="H42" s="1314" t="s">
        <x:v>261</x:v>
      </x:c>
      <x:c r="I42" s="1314"/>
      <x:c r="J42" s="684" t="s">
        <x:v>231</x:v>
      </x:c>
      <x:c r="K42" s="684" t="s">
        <x:v>242</x:v>
      </x:c>
      <x:c r="L42" s="684" t="s">
        <x:v>247</x:v>
      </x:c>
      <x:c r="M42" s="684" t="s">
        <x:v>250</x:v>
      </x:c>
      <x:c r="N42" s="684" t="s">
        <x:v>244</x:v>
      </x:c>
      <x:c r="O42" s="684" t="s">
        <x:v>248</x:v>
      </x:c>
      <x:c r="P42" s="684" t="s">
        <x:v>262</x:v>
      </x:c>
    </x:row>
    <x:row r="43" spans="1:16" ht="17.649999999999999" customHeight="1">
      <x:c r="A43" s="38"/>
      <x:c r="B43" s="38"/>
      <x:c r="C43" s="38"/>
      <x:c r="D43" s="38"/>
      <x:c r="E43" s="31"/>
      <x:c r="F43" s="31"/>
      <x:c r="G43" s="31"/>
      <x:c r="H43" s="1316" t="s">
        <x:v>458</x:v>
      </x:c>
      <x:c r="I43" s="1317"/>
      <x:c r="J43" s="32">
        <x:v>2</x:v>
      </x:c>
      <x:c r="K43" s="32">
        <x:v>2</x:v>
      </x:c>
      <x:c r="L43" s="32">
        <x:v>4</x:v>
      </x:c>
      <x:c r="M43" s="32">
        <x:v>5</x:v>
      </x:c>
      <x:c r="N43" s="32">
        <x:v>5</x:v>
      </x:c>
      <x:c r="O43" s="32">
        <x:v>4</x:v>
      </x:c>
      <x:c r="P43" s="33">
        <x:f>SUM(J43:O43)</x:f>
        <x:v>22</x:v>
      </x:c>
    </x:row>
    <x:row r="44" spans="1:16" ht="17.649999999999999" customHeight="1">
      <x:c r="A44" s="38"/>
      <x:c r="B44" s="38"/>
      <x:c r="C44" s="38"/>
      <x:c r="D44" s="38"/>
      <x:c r="G44" s="31"/>
      <x:c r="H44" s="1316">
        <x:v>26.01</x:v>
      </x:c>
      <x:c r="I44" s="1317"/>
      <x:c r="J44" s="32">
        <x:v>2</x:v>
      </x:c>
      <x:c r="K44" s="32">
        <x:v>3</x:v>
      </x:c>
      <x:c r="L44" s="32">
        <x:v>4</x:v>
      </x:c>
      <x:c r="M44" s="32">
        <x:v>4</x:v>
      </x:c>
      <x:c r="N44" s="32">
        <x:v>5</x:v>
      </x:c>
      <x:c r="O44" s="32">
        <x:v>4</x:v>
      </x:c>
      <x:c r="P44" s="33">
        <x:f>SUM(J44:O44)</x:f>
        <x:v>22</x:v>
      </x:c>
    </x:row>
    <x:row r="45" spans="1:16" ht="17.649999999999999" customHeight="1" thickBot="1">
      <x:c r="A45" s="38"/>
      <x:c r="B45" s="38"/>
      <x:c r="C45" s="38"/>
      <x:c r="D45" s="38"/>
      <x:c r="E45" s="39"/>
      <x:c r="F45" s="39"/>
      <x:c r="G45" s="40"/>
      <x:c r="H45" s="1282" t="s">
        <x:v>459</x:v>
      </x:c>
      <x:c r="I45" s="1283"/>
      <x:c r="J45" s="41">
        <x:v>3</x:v>
      </x:c>
      <x:c r="K45" s="34">
        <x:v>3</x:v>
      </x:c>
      <x:c r="L45" s="34">
        <x:v>4</x:v>
      </x:c>
      <x:c r="M45" s="34">
        <x:v>4</x:v>
      </x:c>
      <x:c r="N45" s="34">
        <x:v>9</x:v>
      </x:c>
      <x:c r="O45" s="34">
        <x:v>4</x:v>
      </x:c>
      <x:c r="P45" s="33">
        <x:f>SUM(J45:O45)</x:f>
        <x:v>27</x:v>
      </x:c>
    </x:row>
    <x:row r="46" spans="1:16" ht="26.65" customHeight="1">
      <x:c r="A46" s="38"/>
      <x:c r="B46" s="1284"/>
      <x:c r="C46" s="1284"/>
    </x:row>
    <x:row r="47" spans="1:16" ht="26.65" customHeight="1">
      <x:c r="A47" s="38"/>
      <x:c r="B47" s="1284"/>
      <x:c r="C47" s="1284"/>
    </x:row>
    <x:row r="48" spans="1:16" ht="26.65" customHeight="1">
      <x:c r="B48" s="1284"/>
      <x:c r="C48" s="1284"/>
    </x:row>
  </x:sheetData>
  <x:mergeCells count="22">
    <x:mergeCell ref="A11:D11"/>
    <x:mergeCell ref="H43:I43"/>
    <x:mergeCell ref="H44:I44"/>
    <x:mergeCell ref="B18:B20"/>
    <x:mergeCell ref="B28:B29"/>
    <x:mergeCell ref="B15:B17"/>
    <x:mergeCell ref="A9:D9"/>
    <x:mergeCell ref="H45:I45"/>
    <x:mergeCell ref="B46:B48"/>
    <x:mergeCell ref="C46:C48"/>
    <x:mergeCell ref="A1:D5"/>
    <x:mergeCell ref="E1:P5"/>
    <x:mergeCell ref="A6:D6"/>
    <x:mergeCell ref="A7:D7"/>
    <x:mergeCell ref="A8:D8"/>
    <x:mergeCell ref="A13:A34"/>
    <x:mergeCell ref="B24:B27"/>
    <x:mergeCell ref="B30:B34"/>
    <x:mergeCell ref="B21:B23"/>
    <x:mergeCell ref="A36:A40"/>
    <x:mergeCell ref="H42:I42"/>
    <x:mergeCell ref="A10:D10"/>
  </x:mergeCells>
  <x:phoneticPr fontId="3" type="noConversion"/>
  <x:pageMargins left="0.7" right="0.7" top="0.75" bottom="0.75" header="0.3" footer="0.3"/>
  <x:pageSetup paperSize="9" scale="40" orientation="portrait" horizontalDpi="360" verticalDpi="360" r:id="rId1"/>
  <x:drawing r:id="rId2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999A7FD-B729-4311-B49E-655DEFB07BC7}" mc:Ignorable="x14ac xr xr2 xr3">
  <x:sheetPr codeName="Sheet7"/>
  <x:dimension ref="B1:AA56"/>
  <x:sheetViews>
    <x:sheetView topLeftCell="A7" zoomScale="70" zoomScaleNormal="70" workbookViewId="0">
      <x:selection activeCell="I50" sqref="I50"/>
    </x:sheetView>
  </x:sheetViews>
  <x:sheetFormatPr defaultRowHeight="16.5"/>
  <x:cols>
    <x:col min="1" max="1" width="1.25" customWidth="1"/>
    <x:col min="3" max="3" width="18.125" bestFit="1" customWidth="1"/>
    <x:col min="4" max="4" width="16.375" bestFit="1" customWidth="1"/>
    <x:col min="5" max="5" width="16.25" customWidth="1"/>
    <x:col min="8" max="19" width="10.75" customWidth="1"/>
    <x:col min="20" max="27" width="9.75" customWidth="1"/>
  </x:cols>
  <x:sheetData>
    <x:row r="1" spans="2:27" s="21" customFormat="1" ht="31.5">
      <x:c r="B1" s="26" t="s">
        <x:v>738</x:v>
      </x:c>
      <x:c r="C1" s="26"/>
      <x:c r="D1" s="26"/>
      <x:c r="N1" s="28"/>
      <x:c r="O1" s="28"/>
    </x:row>
    <x:row r="2" spans="2:27" s="21" customFormat="1" ht="2.4500000000000002" customHeight="1">
      <x:c r="B2" s="29"/>
      <x:c r="C2" s="29"/>
      <x:c r="D2" s="29"/>
      <x:c r="E2" s="29"/>
      <x:c r="F2" s="29"/>
      <x:c r="G2" s="29"/>
    </x:row>
    <x:row r="3" spans="2:27" s="21" customFormat="1" ht="7.9" customHeight="1"/>
    <x:row r="4" spans="2:27" s="28" customFormat="1" ht="15.6" customHeight="1" thickBot="1">
      <x:c r="B4" s="165"/>
      <x:c r="C4" s="166"/>
      <x:c r="D4" s="166"/>
      <x:c r="E4" s="166"/>
      <x:c r="F4" s="166"/>
      <x:c r="O4" s="167" t="s">
        <x:v>664</x:v>
      </x:c>
      <x:c r="P4" s="166"/>
      <x:c r="Q4" s="166"/>
      <x:c r="R4" s="166"/>
    </x:row>
    <x:row r="5" spans="2:27" s="28" customFormat="1" ht="15.6" customHeight="1" thickTop="1">
      <x:c r="B5" s="165"/>
      <x:c r="C5" s="166"/>
      <x:c r="D5" s="166"/>
      <x:c r="E5" s="166"/>
      <x:c r="F5" s="166"/>
      <x:c r="P5" s="1320" t="s">
        <x:v>665</x:v>
      </x:c>
      <x:c r="Q5" s="1321"/>
      <x:c r="R5" s="1321"/>
      <x:c r="S5" s="1322"/>
      <x:c r="V5" s="1323" t="s">
        <x:v>666</x:v>
      </x:c>
      <x:c r="W5" s="1324"/>
    </x:row>
    <x:row r="6" spans="2:27" s="28" customFormat="1" ht="15.6" customHeight="1">
      <x:c r="B6" s="165"/>
      <x:c r="C6" s="166"/>
      <x:c r="D6" s="166"/>
      <x:c r="E6" s="166"/>
      <x:c r="F6" s="166"/>
      <x:c r="P6" s="1325" t="s">
        <x:v>667</x:v>
      </x:c>
      <x:c r="Q6" s="1326"/>
      <x:c r="R6" s="1327" t="s">
        <x:v>668</x:v>
      </x:c>
      <x:c r="S6" s="1328"/>
      <x:c r="V6" s="168" t="s">
        <x:v>669</x:v>
      </x:c>
      <x:c r="W6" s="169" t="s">
        <x:v>670</x:v>
      </x:c>
    </x:row>
    <x:row r="7" spans="2:27" s="28" customFormat="1" ht="15.6" customHeight="1" thickBot="1">
      <x:c r="B7" s="165"/>
      <x:c r="C7" s="166"/>
      <x:c r="D7" s="166"/>
      <x:c r="E7" s="166"/>
      <x:c r="F7" s="166"/>
      <x:c r="P7" s="170" t="s">
        <x:v>671</x:v>
      </x:c>
      <x:c r="Q7" s="171" t="s">
        <x:v>672</x:v>
      </x:c>
      <x:c r="R7" s="171" t="s">
        <x:v>671</x:v>
      </x:c>
      <x:c r="S7" s="172" t="s">
        <x:v>672</x:v>
      </x:c>
      <x:c r="V7" s="170" t="s">
        <x:v>673</x:v>
      </x:c>
      <x:c r="W7" s="172" t="s">
        <x:v>673</x:v>
      </x:c>
    </x:row>
    <x:row r="8" spans="2:27" s="28" customFormat="1" ht="18" thickTop="1" thickBot="1">
      <x:c r="B8" s="176" t="s">
        <x:v>739</x:v>
      </x:c>
    </x:row>
    <x:row r="9" spans="2:27" s="28" customFormat="1" ht="33.75">
      <x:c r="B9" s="781" t="s">
        <x:v>674</x:v>
      </x:c>
      <x:c r="C9" s="781" t="s">
        <x:v>675</x:v>
      </x:c>
      <x:c r="D9" s="781" t="s">
        <x:v>676</x:v>
      </x:c>
      <x:c r="E9" s="668"/>
      <x:c r="F9" s="781" t="s">
        <x:v>677</x:v>
      </x:c>
      <x:c r="G9" s="781" t="s">
        <x:v>678</x:v>
      </x:c>
      <x:c r="H9" s="781" t="s">
        <x:v>679</x:v>
      </x:c>
      <x:c r="I9" s="781" t="s">
        <x:v>680</x:v>
      </x:c>
      <x:c r="J9" s="781" t="s">
        <x:v>681</x:v>
      </x:c>
      <x:c r="K9" s="781" t="s">
        <x:v>682</x:v>
      </x:c>
      <x:c r="L9" s="781" t="s">
        <x:v>683</x:v>
      </x:c>
      <x:c r="M9" s="781" t="s">
        <x:v>194</x:v>
      </x:c>
      <x:c r="N9" s="533" t="s">
        <x:v>684</x:v>
      </x:c>
      <x:c r="O9" s="700" t="s">
        <x:v>685</x:v>
      </x:c>
      <x:c r="P9" s="593" t="s">
        <x:v>686</x:v>
      </x:c>
      <x:c r="Q9" s="674" t="s">
        <x:v>687</x:v>
      </x:c>
      <x:c r="R9" s="674" t="s">
        <x:v>688</x:v>
      </x:c>
      <x:c r="S9" s="531" t="s">
        <x:v>689</x:v>
      </x:c>
      <x:c r="T9" s="397" t="s">
        <x:v>690</x:v>
      </x:c>
      <x:c r="U9" s="700" t="s">
        <x:v>691</x:v>
      </x:c>
      <x:c r="V9" s="593" t="s">
        <x:v>692</x:v>
      </x:c>
      <x:c r="W9" s="531" t="s">
        <x:v>693</x:v>
      </x:c>
      <x:c r="X9" s="397" t="s">
        <x:v>694</x:v>
      </x:c>
      <x:c r="Y9" s="781" t="s">
        <x:v>695</x:v>
      </x:c>
      <x:c r="Z9" s="781" t="s">
        <x:v>696</x:v>
      </x:c>
      <x:c r="AA9" s="781" t="s">
        <x:v>697</x:v>
      </x:c>
    </x:row>
    <x:row r="10" spans="2:27" s="173" customFormat="1">
      <x:c r="B10" s="174"/>
      <x:c r="C10" s="761" t="s">
        <x:v>698</x:v>
      </x:c>
      <x:c r="D10" s="426" t="s">
        <x:v>699</x:v>
      </x:c>
      <x:c r="E10" s="557" t="s">
        <x:v>1174</x:v>
      </x:c>
      <x:c r="F10" s="426" t="s">
        <x:v>700</x:v>
      </x:c>
      <x:c r="G10" s="174"/>
      <x:c r="H10" s="174"/>
      <x:c r="I10" s="543">
        <x:v>2022.05</x:v>
      </x:c>
      <x:c r="J10" s="174"/>
      <x:c r="K10" s="733">
        <x:v>8800</x:v>
      </x:c>
      <x:c r="L10" s="665">
        <x:v>0</x:v>
      </x:c>
      <x:c r="M10" s="665">
        <x:v>0</x:v>
      </x:c>
      <x:c r="N10" s="733">
        <x:v>679907.49</x:v>
      </x:c>
      <x:c r="O10" s="739">
        <x:f>N10*12</x:f>
        <x:v>8158889.8799999999</x:v>
      </x:c>
      <x:c r="P10" s="675">
        <x:v>27305.8</x:v>
      </x:c>
      <x:c r="Q10" s="644">
        <x:v>32669.43</x:v>
      </x:c>
      <x:c r="R10" s="644">
        <x:v>1950.41</x:v>
      </x:c>
      <x:c r="S10" s="799">
        <x:v>3900.83</x:v>
      </x:c>
      <x:c r="T10" s="678"/>
      <x:c r="U10" s="739">
        <x:v>0</x:v>
      </x:c>
      <x:c r="V10" s="675">
        <x:v>141360.15</x:v>
      </x:c>
      <x:c r="W10" s="799">
        <x:v>4963.12</x:v>
      </x:c>
      <x:c r="X10" s="678"/>
      <x:c r="Y10" s="733">
        <x:f>L10</x:f>
        <x:v>0</x:v>
      </x:c>
      <x:c r="Z10" s="733">
        <x:f>Y10*12</x:f>
        <x:v>0</x:v>
      </x:c>
      <x:c r="AA10" s="733"/>
    </x:row>
    <x:row r="11" spans="2:27" s="173" customFormat="1">
      <x:c r="B11" s="174"/>
      <x:c r="C11" s="761" t="s">
        <x:v>701</x:v>
      </x:c>
      <x:c r="D11" s="426" t="s">
        <x:v>702</x:v>
      </x:c>
      <x:c r="E11" s="557" t="s">
        <x:v>1174</x:v>
      </x:c>
      <x:c r="F11" s="426" t="s">
        <x:v>700</x:v>
      </x:c>
      <x:c r="G11" s="174"/>
      <x:c r="H11" s="174"/>
      <x:c r="I11" s="543" t="s">
        <x:v>703</x:v>
      </x:c>
      <x:c r="J11" s="174"/>
      <x:c r="K11" s="733">
        <x:v>7460</x:v>
      </x:c>
      <x:c r="L11" s="665">
        <x:v>0</x:v>
      </x:c>
      <x:c r="M11" s="665">
        <x:v>0</x:v>
      </x:c>
      <x:c r="N11" s="733">
        <x:v>420391.48</x:v>
      </x:c>
      <x:c r="O11" s="739">
        <x:f>N11*12</x:f>
        <x:v>5044697.76</x:v>
      </x:c>
      <x:c r="P11" s="675">
        <x:v>27305.8</x:v>
      </x:c>
      <x:c r="Q11" s="644">
        <x:v>32669.43</x:v>
      </x:c>
      <x:c r="R11" s="644">
        <x:v>1950.41</x:v>
      </x:c>
      <x:c r="S11" s="799">
        <x:v>3900.83</x:v>
      </x:c>
      <x:c r="T11" s="678">
        <x:v>0</x:v>
      </x:c>
      <x:c r="U11" s="739">
        <x:v>0</x:v>
      </x:c>
      <x:c r="V11" s="675">
        <x:v>71290.820000000007</x:v>
      </x:c>
      <x:c r="W11" s="799">
        <x:v>2993.39</x:v>
      </x:c>
      <x:c r="X11" s="678"/>
      <x:c r="Y11" s="733">
        <x:f t="shared" ref="Y11:Y31" si="0">L11</x:f>
        <x:v>0</x:v>
      </x:c>
      <x:c r="Z11" s="733">
        <x:f t="shared" ref="Z11:Z31" si="1">Y11*12</x:f>
        <x:v>0</x:v>
      </x:c>
      <x:c r="AA11" s="733"/>
    </x:row>
    <x:row r="12" spans="2:27" s="919" customFormat="1">
      <x:c r="B12" s="907" t="s">
        <x:v>704</x:v>
      </x:c>
      <x:c r="C12" s="907" t="s">
        <x:v>705</x:v>
      </x:c>
      <x:c r="D12" s="907" t="s">
        <x:v>706</x:v>
      </x:c>
      <x:c r="E12" s="908" t="s">
        <x:v>1175</x:v>
      </x:c>
      <x:c r="F12" s="907" t="s">
        <x:v>707</x:v>
      </x:c>
      <x:c r="G12" s="907" t="s">
        <x:v>708</x:v>
      </x:c>
      <x:c r="H12" s="909">
        <x:v>36</x:v>
      </x:c>
      <x:c r="I12" s="910">
        <x:v>44769</x:v>
      </x:c>
      <x:c r="J12" s="911">
        <x:v>3.4356164383561643</x:v>
      </x:c>
      <x:c r="K12" s="911"/>
      <x:c r="L12" s="912">
        <x:v>92000</x:v>
      </x:c>
      <x:c r="M12" s="912">
        <x:v>0</x:v>
      </x:c>
      <x:c r="N12" s="913">
        <x:v>123773.5</x:v>
      </x:c>
      <x:c r="O12" s="914">
        <x:f t="shared" ref="O12:O31" si="2">N12*12</x:f>
        <x:v>1485282</x:v>
      </x:c>
      <x:c r="P12" s="915">
        <x:v>17328.29</x:v>
      </x:c>
      <x:c r="Q12" s="916">
        <x:v>20732.060000000001</x:v>
      </x:c>
      <x:c r="R12" s="916">
        <x:v>1237.74</x:v>
      </x:c>
      <x:c r="S12" s="917">
        <x:v>2475.4699999999998</x:v>
      </x:c>
      <x:c r="T12" s="918">
        <x:v>0</x:v>
      </x:c>
      <x:c r="U12" s="914">
        <x:v>0</x:v>
      </x:c>
      <x:c r="V12" s="915">
        <x:v>12465.42</x:v>
      </x:c>
      <x:c r="W12" s="917">
        <x:v>742.06</x:v>
      </x:c>
      <x:c r="X12" s="918"/>
      <x:c r="Y12" s="913">
        <x:f t="shared" si="0"/>
        <x:v>92000</x:v>
      </x:c>
      <x:c r="Z12" s="913">
        <x:f t="shared" si="1"/>
        <x:v>1104000</x:v>
      </x:c>
      <x:c r="AA12" s="913"/>
    </x:row>
    <x:row r="13" spans="2:27" s="28" customFormat="1">
      <x:c r="B13" s="175" t="s">
        <x:v>709</x:v>
      </x:c>
      <x:c r="C13" s="175" t="s">
        <x:v>710</x:v>
      </x:c>
      <x:c r="D13" s="175" t="s">
        <x:v>711</x:v>
      </x:c>
      <x:c r="E13" s="836" t="s">
        <x:v>1176</x:v>
      </x:c>
      <x:c r="F13" s="175" t="s">
        <x:v>707</x:v>
      </x:c>
      <x:c r="G13" s="175" t="s">
        <x:v>708</x:v>
      </x:c>
      <x:c r="H13" s="498">
        <x:v>35</x:v>
      </x:c>
      <x:c r="I13" s="399">
        <x:v>44823</x:v>
      </x:c>
      <x:c r="J13" s="415">
        <x:v>3.2904109589041095</x:v>
      </x:c>
      <x:c r="K13" s="415"/>
      <x:c r="L13" s="665">
        <x:v>92000</x:v>
      </x:c>
      <x:c r="M13" s="665">
        <x:v>0</x:v>
      </x:c>
      <x:c r="N13" s="733">
        <x:v>123773.5</x:v>
      </x:c>
      <x:c r="O13" s="739">
        <x:f t="shared" si="2"/>
        <x:v>1485282</x:v>
      </x:c>
      <x:c r="P13" s="675">
        <x:v>17328.29</x:v>
      </x:c>
      <x:c r="Q13" s="644">
        <x:v>20732.060000000001</x:v>
      </x:c>
      <x:c r="R13" s="644">
        <x:v>1237.74</x:v>
      </x:c>
      <x:c r="S13" s="799">
        <x:v>2475.4699999999998</x:v>
      </x:c>
      <x:c r="T13" s="678">
        <x:v>0</x:v>
      </x:c>
      <x:c r="U13" s="739">
        <x:v>0</x:v>
      </x:c>
      <x:c r="V13" s="675">
        <x:v>12465.42</x:v>
      </x:c>
      <x:c r="W13" s="799">
        <x:v>742.06</x:v>
      </x:c>
      <x:c r="X13" s="678"/>
      <x:c r="Y13" s="733">
        <x:f t="shared" si="0"/>
        <x:v>92000</x:v>
      </x:c>
      <x:c r="Z13" s="733">
        <x:f t="shared" si="1"/>
        <x:v>1104000</x:v>
      </x:c>
      <x:c r="AA13" s="733"/>
    </x:row>
    <x:row r="14" spans="2:27" s="28" customFormat="1">
      <x:c r="B14" s="175" t="s">
        <x:v>712</x:v>
      </x:c>
      <x:c r="C14" s="175" t="s">
        <x:v>713</x:v>
      </x:c>
      <x:c r="D14" s="175" t="s">
        <x:v>711</x:v>
      </x:c>
      <x:c r="E14" s="836" t="s">
        <x:v>1176</x:v>
      </x:c>
      <x:c r="F14" s="175" t="s">
        <x:v>707</x:v>
      </x:c>
      <x:c r="G14" s="175" t="s">
        <x:v>708</x:v>
      </x:c>
      <x:c r="H14" s="498">
        <x:v>34</x:v>
      </x:c>
      <x:c r="I14" s="399">
        <x:v>45152</x:v>
      </x:c>
      <x:c r="J14" s="415">
        <x:v>2.3917808219178083</x:v>
      </x:c>
      <x:c r="K14" s="415"/>
      <x:c r="L14" s="665">
        <x:v>92000</x:v>
      </x:c>
      <x:c r="M14" s="665">
        <x:v>0</x:v>
      </x:c>
      <x:c r="N14" s="733">
        <x:v>123773.5</x:v>
      </x:c>
      <x:c r="O14" s="739">
        <x:f t="shared" si="2"/>
        <x:v>1485282</x:v>
      </x:c>
      <x:c r="P14" s="675">
        <x:v>17328.29</x:v>
      </x:c>
      <x:c r="Q14" s="644">
        <x:v>20732.060000000001</x:v>
      </x:c>
      <x:c r="R14" s="644">
        <x:v>1237.74</x:v>
      </x:c>
      <x:c r="S14" s="799">
        <x:v>2475.4699999999998</x:v>
      </x:c>
      <x:c r="T14" s="678">
        <x:v>0</x:v>
      </x:c>
      <x:c r="U14" s="739">
        <x:v>0</x:v>
      </x:c>
      <x:c r="V14" s="675">
        <x:v>12465.42</x:v>
      </x:c>
      <x:c r="W14" s="799">
        <x:v>742.06</x:v>
      </x:c>
      <x:c r="X14" s="678"/>
      <x:c r="Y14" s="733">
        <x:f t="shared" si="0"/>
        <x:v>92000</x:v>
      </x:c>
      <x:c r="Z14" s="733">
        <x:f t="shared" si="1"/>
        <x:v>1104000</x:v>
      </x:c>
      <x:c r="AA14" s="733"/>
    </x:row>
    <x:row r="15" spans="2:27" s="919" customFormat="1">
      <x:c r="B15" s="907" t="s">
        <x:v>714</x:v>
      </x:c>
      <x:c r="C15" s="907" t="s">
        <x:v>715</x:v>
      </x:c>
      <x:c r="D15" s="907" t="s">
        <x:v>716</x:v>
      </x:c>
      <x:c r="E15" s="908" t="s">
        <x:v>1175</x:v>
      </x:c>
      <x:c r="F15" s="907" t="s">
        <x:v>707</x:v>
      </x:c>
      <x:c r="G15" s="907" t="s">
        <x:v>708</x:v>
      </x:c>
      <x:c r="H15" s="909">
        <x:v>34</x:v>
      </x:c>
      <x:c r="I15" s="910">
        <x:v>45356</x:v>
      </x:c>
      <x:c r="J15" s="911">
        <x:v>1.83561643835616</x:v>
      </x:c>
      <x:c r="K15" s="911"/>
      <x:c r="L15" s="912">
        <x:v>86000</x:v>
      </x:c>
      <x:c r="M15" s="912">
        <x:v>0</x:v>
      </x:c>
      <x:c r="N15" s="913">
        <x:v>115380.84</x:v>
      </x:c>
      <x:c r="O15" s="914">
        <x:f t="shared" si="2"/>
        <x:v>1384570.08</x:v>
      </x:c>
      <x:c r="P15" s="915">
        <x:v>16153.32</x:v>
      </x:c>
      <x:c r="Q15" s="916">
        <x:v>19326.29</x:v>
      </x:c>
      <x:c r="R15" s="916">
        <x:v>1153.81</x:v>
      </x:c>
      <x:c r="S15" s="917">
        <x:v>2307.62</x:v>
      </x:c>
      <x:c r="T15" s="918">
        <x:v>0</x:v>
      </x:c>
      <x:c r="U15" s="914">
        <x:v>0</x:v>
      </x:c>
      <x:c r="V15" s="915">
        <x:v>11395.36</x:v>
      </x:c>
      <x:c r="W15" s="917">
        <x:v>678.36</x:v>
      </x:c>
      <x:c r="X15" s="918"/>
      <x:c r="Y15" s="913">
        <x:f t="shared" si="0"/>
        <x:v>86000</x:v>
      </x:c>
      <x:c r="Z15" s="913">
        <x:f t="shared" si="1"/>
        <x:v>1032000</x:v>
      </x:c>
      <x:c r="AA15" s="913"/>
    </x:row>
    <x:row r="16" spans="2:27" s="28" customFormat="1">
      <x:c r="B16" s="175" t="s">
        <x:v>712</x:v>
      </x:c>
      <x:c r="C16" s="175" t="s">
        <x:v>717</x:v>
      </x:c>
      <x:c r="D16" s="175" t="s">
        <x:v>716</x:v>
      </x:c>
      <x:c r="E16" s="836" t="s">
        <x:v>1176</x:v>
      </x:c>
      <x:c r="F16" s="175"/>
      <x:c r="G16" s="175" t="s">
        <x:v>719</x:v>
      </x:c>
      <x:c r="H16" s="498">
        <x:v>32</x:v>
      </x:c>
      <x:c r="I16" s="399">
        <x:v>45446</x:v>
      </x:c>
      <x:c r="J16" s="415">
        <x:v>1.5917808219178082</x:v>
      </x:c>
      <x:c r="K16" s="415"/>
      <x:c r="L16" s="665">
        <x:v>86000</x:v>
      </x:c>
      <x:c r="M16" s="665">
        <x:v>0</x:v>
      </x:c>
      <x:c r="N16" s="733">
        <x:v>115380.84</x:v>
      </x:c>
      <x:c r="O16" s="739">
        <x:f t="shared" si="2"/>
        <x:v>1384570.08</x:v>
      </x:c>
      <x:c r="P16" s="675">
        <x:v>16153.32</x:v>
      </x:c>
      <x:c r="Q16" s="644">
        <x:v>19326.29</x:v>
      </x:c>
      <x:c r="R16" s="644">
        <x:v>1153.81</x:v>
      </x:c>
      <x:c r="S16" s="799">
        <x:v>2307.62</x:v>
      </x:c>
      <x:c r="T16" s="678">
        <x:v>0</x:v>
      </x:c>
      <x:c r="U16" s="739">
        <x:v>0</x:v>
      </x:c>
      <x:c r="V16" s="675">
        <x:v>11395.36</x:v>
      </x:c>
      <x:c r="W16" s="799">
        <x:v>678.36</x:v>
      </x:c>
      <x:c r="X16" s="678"/>
      <x:c r="Y16" s="733">
        <x:f t="shared" si="0"/>
        <x:v>86000</x:v>
      </x:c>
      <x:c r="Z16" s="733">
        <x:f t="shared" si="1"/>
        <x:v>1032000</x:v>
      </x:c>
      <x:c r="AA16" s="733"/>
    </x:row>
    <x:row r="17" spans="2:27" s="919" customFormat="1">
      <x:c r="B17" s="907" t="s">
        <x:v>712</x:v>
      </x:c>
      <x:c r="C17" s="907" t="s">
        <x:v>721</x:v>
      </x:c>
      <x:c r="D17" s="907" t="s">
        <x:v>722</x:v>
      </x:c>
      <x:c r="E17" s="908" t="s">
        <x:v>1175</x:v>
      </x:c>
      <x:c r="F17" s="907"/>
      <x:c r="G17" s="907" t="s">
        <x:v>719</x:v>
      </x:c>
      <x:c r="H17" s="909">
        <x:v>32</x:v>
      </x:c>
      <x:c r="I17" s="910">
        <x:v>45518</x:v>
      </x:c>
      <x:c r="J17" s="911">
        <x:v>1.4</x:v>
      </x:c>
      <x:c r="K17" s="911"/>
      <x:c r="L17" s="912">
        <x:v>60000</x:v>
      </x:c>
      <x:c r="M17" s="912">
        <x:v>0</x:v>
      </x:c>
      <x:c r="N17" s="913">
        <x:v>79012.63</x:v>
      </x:c>
      <x:c r="O17" s="914">
        <x:f t="shared" si="2"/>
        <x:v>948151.56</x:v>
      </x:c>
      <x:c r="P17" s="915">
        <x:v>11061.77</x:v>
      </x:c>
      <x:c r="Q17" s="916">
        <x:v>13234.62</x:v>
      </x:c>
      <x:c r="R17" s="916">
        <x:v>790.13</x:v>
      </x:c>
      <x:c r="S17" s="917">
        <x:v>1580.25</x:v>
      </x:c>
      <x:c r="T17" s="918">
        <x:v>0</x:v>
      </x:c>
      <x:c r="U17" s="914">
        <x:v>0</x:v>
      </x:c>
      <x:c r="V17" s="915">
        <x:v>6758.41</x:v>
      </x:c>
      <x:c r="W17" s="917">
        <x:v>402.32</x:v>
      </x:c>
      <x:c r="X17" s="918"/>
      <x:c r="Y17" s="913">
        <x:f t="shared" si="0"/>
        <x:v>60000</x:v>
      </x:c>
      <x:c r="Z17" s="913">
        <x:f t="shared" si="1"/>
        <x:v>720000</x:v>
      </x:c>
      <x:c r="AA17" s="913"/>
    </x:row>
    <x:row r="18" spans="2:27" s="919" customFormat="1">
      <x:c r="B18" s="907" t="s">
        <x:v>704</x:v>
      </x:c>
      <x:c r="C18" s="907" t="s">
        <x:v>723</x:v>
      </x:c>
      <x:c r="D18" s="907" t="s">
        <x:v>718</x:v>
      </x:c>
      <x:c r="E18" s="908" t="s">
        <x:v>1175</x:v>
      </x:c>
      <x:c r="F18" s="907"/>
      <x:c r="G18" s="907" t="s">
        <x:v>708</x:v>
      </x:c>
      <x:c r="H18" s="909">
        <x:v>29</x:v>
      </x:c>
      <x:c r="I18" s="910">
        <x:v>45544</x:v>
      </x:c>
      <x:c r="J18" s="911">
        <x:v>1.3315068493150686</x:v>
      </x:c>
      <x:c r="K18" s="911"/>
      <x:c r="L18" s="912">
        <x:v>65000</x:v>
      </x:c>
      <x:c r="M18" s="912">
        <x:v>0</x:v>
      </x:c>
      <x:c r="N18" s="913">
        <x:v>86006.52</x:v>
      </x:c>
      <x:c r="O18" s="914">
        <x:f t="shared" si="2"/>
        <x:v>1032078.24</x:v>
      </x:c>
      <x:c r="P18" s="915">
        <x:v>12040.91</x:v>
      </x:c>
      <x:c r="Q18" s="916">
        <x:v>14406.09</x:v>
      </x:c>
      <x:c r="R18" s="916">
        <x:v>860.07</x:v>
      </x:c>
      <x:c r="S18" s="917">
        <x:v>1720.13</x:v>
      </x:c>
      <x:c r="T18" s="918">
        <x:v>0</x:v>
      </x:c>
      <x:c r="U18" s="914">
        <x:v>0</x:v>
      </x:c>
      <x:c r="V18" s="915">
        <x:v>7650.13</x:v>
      </x:c>
      <x:c r="W18" s="917">
        <x:v>455.41</x:v>
      </x:c>
      <x:c r="X18" s="918"/>
      <x:c r="Y18" s="913">
        <x:f t="shared" si="0"/>
        <x:v>65000</x:v>
      </x:c>
      <x:c r="Z18" s="913">
        <x:f t="shared" si="1"/>
        <x:v>780000</x:v>
      </x:c>
      <x:c r="AA18" s="913"/>
    </x:row>
    <x:row r="19" spans="2:27" s="28" customFormat="1">
      <x:c r="B19" s="175" t="s">
        <x:v>724</x:v>
      </x:c>
      <x:c r="C19" s="175" t="s">
        <x:v>725</x:v>
      </x:c>
      <x:c r="D19" s="175" t="s">
        <x:v>716</x:v>
      </x:c>
      <x:c r="E19" s="836" t="s">
        <x:v>1176</x:v>
      </x:c>
      <x:c r="F19" s="175" t="s">
        <x:v>707</x:v>
      </x:c>
      <x:c r="G19" s="175" t="s">
        <x:v>719</x:v>
      </x:c>
      <x:c r="H19" s="498">
        <x:v>29</x:v>
      </x:c>
      <x:c r="I19" s="399">
        <x:v>45597</x:v>
      </x:c>
      <x:c r="J19" s="415">
        <x:v>1.189041095890411</x:v>
      </x:c>
      <x:c r="K19" s="415"/>
      <x:c r="L19" s="665">
        <x:v>80000</x:v>
      </x:c>
      <x:c r="M19" s="665">
        <x:v>0</x:v>
      </x:c>
      <x:c r="N19" s="733">
        <x:v>115380.84</x:v>
      </x:c>
      <x:c r="O19" s="739">
        <x:f t="shared" si="2"/>
        <x:v>1384570.08</x:v>
      </x:c>
      <x:c r="P19" s="675">
        <x:v>16153.32</x:v>
      </x:c>
      <x:c r="Q19" s="644">
        <x:v>19326.29</x:v>
      </x:c>
      <x:c r="R19" s="644">
        <x:v>1153.81</x:v>
      </x:c>
      <x:c r="S19" s="799">
        <x:v>2307.62</x:v>
      </x:c>
      <x:c r="T19" s="678">
        <x:v>0</x:v>
      </x:c>
      <x:c r="U19" s="739">
        <x:v>0</x:v>
      </x:c>
      <x:c r="V19" s="675">
        <x:v>11395.36</x:v>
      </x:c>
      <x:c r="W19" s="799">
        <x:v>678.36</x:v>
      </x:c>
      <x:c r="X19" s="678"/>
      <x:c r="Y19" s="733">
        <x:f t="shared" si="0"/>
        <x:v>80000</x:v>
      </x:c>
      <x:c r="Z19" s="733">
        <x:f t="shared" si="1"/>
        <x:v>960000</x:v>
      </x:c>
      <x:c r="AA19" s="733"/>
    </x:row>
    <x:row r="20" spans="2:27" s="28" customFormat="1">
      <x:c r="B20" s="175" t="s">
        <x:v>709</x:v>
      </x:c>
      <x:c r="C20" s="175" t="s">
        <x:v>726</x:v>
      </x:c>
      <x:c r="D20" s="175" t="s">
        <x:v>727</x:v>
      </x:c>
      <x:c r="E20" s="836" t="s">
        <x:v>1176</x:v>
      </x:c>
      <x:c r="F20" s="175"/>
      <x:c r="G20" s="175" t="s">
        <x:v>719</x:v>
      </x:c>
      <x:c r="H20" s="498">
        <x:v>33</x:v>
      </x:c>
      <x:c r="I20" s="399">
        <x:v>45629</x:v>
      </x:c>
      <x:c r="J20" s="415">
        <x:v>1.1041095890410959</x:v>
      </x:c>
      <x:c r="K20" s="415"/>
      <x:c r="L20" s="665">
        <x:v>60000</x:v>
      </x:c>
      <x:c r="M20" s="665">
        <x:v>0</x:v>
      </x:c>
      <x:c r="N20" s="733">
        <x:v>79012.63</x:v>
      </x:c>
      <x:c r="O20" s="739">
        <x:f t="shared" si="2"/>
        <x:v>948151.56</x:v>
      </x:c>
      <x:c r="P20" s="675">
        <x:v>11061.77</x:v>
      </x:c>
      <x:c r="Q20" s="644">
        <x:v>13234.62</x:v>
      </x:c>
      <x:c r="R20" s="644">
        <x:v>790.13</x:v>
      </x:c>
      <x:c r="S20" s="799">
        <x:v>1580.25</x:v>
      </x:c>
      <x:c r="T20" s="678">
        <x:v>0</x:v>
      </x:c>
      <x:c r="U20" s="739">
        <x:v>0</x:v>
      </x:c>
      <x:c r="V20" s="675">
        <x:v>6758.41</x:v>
      </x:c>
      <x:c r="W20" s="799">
        <x:v>402.32</x:v>
      </x:c>
      <x:c r="X20" s="678"/>
      <x:c r="Y20" s="733">
        <x:f t="shared" si="0"/>
        <x:v>60000</x:v>
      </x:c>
      <x:c r="Z20" s="733">
        <x:f t="shared" si="1"/>
        <x:v>720000</x:v>
      </x:c>
      <x:c r="AA20" s="733"/>
    </x:row>
    <x:row r="21" spans="2:27" s="28" customFormat="1">
      <x:c r="B21" s="175" t="s">
        <x:v>709</x:v>
      </x:c>
      <x:c r="C21" s="175" t="s">
        <x:v>728</x:v>
      </x:c>
      <x:c r="D21" s="175" t="s">
        <x:v>727</x:v>
      </x:c>
      <x:c r="E21" s="836" t="s">
        <x:v>1176</x:v>
      </x:c>
      <x:c r="F21" s="175"/>
      <x:c r="G21" s="175" t="s">
        <x:v>719</x:v>
      </x:c>
      <x:c r="H21" s="498">
        <x:v>33</x:v>
      </x:c>
      <x:c r="I21" s="399">
        <x:v>45635</x:v>
      </x:c>
      <x:c r="J21" s="415">
        <x:v>1.0904109589041096</x:v>
      </x:c>
      <x:c r="K21" s="415"/>
      <x:c r="L21" s="665">
        <x:v>60000</x:v>
      </x:c>
      <x:c r="M21" s="665">
        <x:v>0</x:v>
      </x:c>
      <x:c r="N21" s="733">
        <x:v>79012.63</x:v>
      </x:c>
      <x:c r="O21" s="739">
        <x:f t="shared" si="2"/>
        <x:v>948151.56</x:v>
      </x:c>
      <x:c r="P21" s="675">
        <x:v>11061.77</x:v>
      </x:c>
      <x:c r="Q21" s="644">
        <x:v>13234.62</x:v>
      </x:c>
      <x:c r="R21" s="644">
        <x:v>790.13</x:v>
      </x:c>
      <x:c r="S21" s="799">
        <x:v>1580.25</x:v>
      </x:c>
      <x:c r="T21" s="678">
        <x:v>0</x:v>
      </x:c>
      <x:c r="U21" s="739">
        <x:v>0</x:v>
      </x:c>
      <x:c r="V21" s="675">
        <x:v>6758.41</x:v>
      </x:c>
      <x:c r="W21" s="799">
        <x:v>402.32</x:v>
      </x:c>
      <x:c r="X21" s="678"/>
      <x:c r="Y21" s="733">
        <x:f t="shared" si="0"/>
        <x:v>60000</x:v>
      </x:c>
      <x:c r="Z21" s="733">
        <x:f t="shared" si="1"/>
        <x:v>720000</x:v>
      </x:c>
      <x:c r="AA21" s="733"/>
    </x:row>
    <x:row r="22" spans="2:27" s="919" customFormat="1">
      <x:c r="B22" s="907" t="s">
        <x:v>720</x:v>
      </x:c>
      <x:c r="C22" s="907" t="s">
        <x:v>729</x:v>
      </x:c>
      <x:c r="D22" s="907" t="s">
        <x:v>718</x:v>
      </x:c>
      <x:c r="E22" s="908" t="s">
        <x:v>1175</x:v>
      </x:c>
      <x:c r="F22" s="907"/>
      <x:c r="G22" s="907" t="s">
        <x:v>708</x:v>
      </x:c>
      <x:c r="H22" s="909">
        <x:v>29</x:v>
      </x:c>
      <x:c r="I22" s="910">
        <x:v>45726</x:v>
      </x:c>
      <x:c r="J22" s="911">
        <x:v>0.84383561643835614</x:v>
      </x:c>
      <x:c r="K22" s="911"/>
      <x:c r="L22" s="912">
        <x:v>75000</x:v>
      </x:c>
      <x:c r="M22" s="912">
        <x:v>0</x:v>
      </x:c>
      <x:c r="N22" s="913">
        <x:v>99994.29</x:v>
      </x:c>
      <x:c r="O22" s="914">
        <x:f t="shared" si="2"/>
        <x:v>1199931.48</x:v>
      </x:c>
      <x:c r="P22" s="915">
        <x:v>13999.2</x:v>
      </x:c>
      <x:c r="Q22" s="916">
        <x:v>16749.04</x:v>
      </x:c>
      <x:c r="R22" s="916">
        <x:v>999.94</x:v>
      </x:c>
      <x:c r="S22" s="917">
        <x:v>1999.89</x:v>
      </x:c>
      <x:c r="T22" s="918">
        <x:v>0</x:v>
      </x:c>
      <x:c r="U22" s="914">
        <x:v>0</x:v>
      </x:c>
      <x:c r="V22" s="915">
        <x:v>9433.57</x:v>
      </x:c>
      <x:c r="W22" s="917">
        <x:v>561.57000000000005</x:v>
      </x:c>
      <x:c r="X22" s="918"/>
      <x:c r="Y22" s="913">
        <x:f t="shared" si="0"/>
        <x:v>75000</x:v>
      </x:c>
      <x:c r="Z22" s="913">
        <x:f t="shared" si="1"/>
        <x:v>900000</x:v>
      </x:c>
      <x:c r="AA22" s="913"/>
    </x:row>
    <x:row r="23" spans="2:27" s="919" customFormat="1">
      <x:c r="B23" s="907" t="s">
        <x:v>714</x:v>
      </x:c>
      <x:c r="C23" s="907" t="s">
        <x:v>730</x:v>
      </x:c>
      <x:c r="D23" s="907" t="s">
        <x:v>718</x:v>
      </x:c>
      <x:c r="E23" s="908" t="s">
        <x:v>1175</x:v>
      </x:c>
      <x:c r="F23" s="907"/>
      <x:c r="G23" s="907" t="s">
        <x:v>708</x:v>
      </x:c>
      <x:c r="H23" s="909">
        <x:v>32</x:v>
      </x:c>
      <x:c r="I23" s="910">
        <x:v>45824</x:v>
      </x:c>
      <x:c r="J23" s="911">
        <x:v>0.57808219178082187</x:v>
      </x:c>
      <x:c r="K23" s="911"/>
      <x:c r="L23" s="912">
        <x:v>75000</x:v>
      </x:c>
      <x:c r="M23" s="912">
        <x:v>0</x:v>
      </x:c>
      <x:c r="N23" s="913">
        <x:v>99994.29</x:v>
      </x:c>
      <x:c r="O23" s="914">
        <x:f t="shared" si="2"/>
        <x:v>1199931.48</x:v>
      </x:c>
      <x:c r="P23" s="915">
        <x:v>13999.2</x:v>
      </x:c>
      <x:c r="Q23" s="916">
        <x:v>16749.04</x:v>
      </x:c>
      <x:c r="R23" s="916">
        <x:v>999.94</x:v>
      </x:c>
      <x:c r="S23" s="917">
        <x:v>1999.89</x:v>
      </x:c>
      <x:c r="T23" s="918">
        <x:v>0</x:v>
      </x:c>
      <x:c r="U23" s="914">
        <x:v>0</x:v>
      </x:c>
      <x:c r="V23" s="915">
        <x:v>9433.57</x:v>
      </x:c>
      <x:c r="W23" s="917">
        <x:v>561.57000000000005</x:v>
      </x:c>
      <x:c r="X23" s="918"/>
      <x:c r="Y23" s="913">
        <x:f t="shared" si="0"/>
        <x:v>75000</x:v>
      </x:c>
      <x:c r="Z23" s="913">
        <x:f t="shared" si="1"/>
        <x:v>900000</x:v>
      </x:c>
      <x:c r="AA23" s="913"/>
    </x:row>
    <x:row r="24" spans="2:27" s="28" customFormat="1">
      <x:c r="B24" s="175" t="s">
        <x:v>712</x:v>
      </x:c>
      <x:c r="C24" s="175" t="s">
        <x:v>731</x:v>
      </x:c>
      <x:c r="D24" s="175" t="s">
        <x:v>732</x:v>
      </x:c>
      <x:c r="E24" s="836" t="s">
        <x:v>1176</x:v>
      </x:c>
      <x:c r="F24" s="175"/>
      <x:c r="G24" s="175" t="s">
        <x:v>719</x:v>
      </x:c>
      <x:c r="H24" s="498">
        <x:v>31</x:v>
      </x:c>
      <x:c r="I24" s="399">
        <x:v>45827</x:v>
      </x:c>
      <x:c r="J24" s="415">
        <x:v>0.57260273972602738</x:v>
      </x:c>
      <x:c r="K24" s="415"/>
      <x:c r="L24" s="665">
        <x:v>65000</x:v>
      </x:c>
      <x:c r="M24" s="665">
        <x:v>0</x:v>
      </x:c>
      <x:c r="N24" s="733">
        <x:v>86006.52</x:v>
      </x:c>
      <x:c r="O24" s="739">
        <x:f t="shared" si="2"/>
        <x:v>1032078.24</x:v>
      </x:c>
      <x:c r="P24" s="675">
        <x:v>12040.91</x:v>
      </x:c>
      <x:c r="Q24" s="644">
        <x:v>14406.09</x:v>
      </x:c>
      <x:c r="R24" s="644">
        <x:v>860.07</x:v>
      </x:c>
      <x:c r="S24" s="799">
        <x:v>1720.13</x:v>
      </x:c>
      <x:c r="T24" s="678">
        <x:v>0</x:v>
      </x:c>
      <x:c r="U24" s="739">
        <x:v>0</x:v>
      </x:c>
      <x:c r="V24" s="675">
        <x:v>7650.13</x:v>
      </x:c>
      <x:c r="W24" s="799">
        <x:v>455.41</x:v>
      </x:c>
      <x:c r="X24" s="678"/>
      <x:c r="Y24" s="733">
        <x:f t="shared" si="0"/>
        <x:v>65000</x:v>
      </x:c>
      <x:c r="Z24" s="733">
        <x:f t="shared" si="1"/>
        <x:v>780000</x:v>
      </x:c>
      <x:c r="AA24" s="733"/>
    </x:row>
    <x:row r="25" spans="2:27" s="28" customFormat="1">
      <x:c r="B25" s="175" t="s">
        <x:v>709</x:v>
      </x:c>
      <x:c r="C25" s="175" t="s">
        <x:v>733</x:v>
      </x:c>
      <x:c r="D25" s="175" t="s">
        <x:v>727</x:v>
      </x:c>
      <x:c r="E25" s="836" t="s">
        <x:v>1176</x:v>
      </x:c>
      <x:c r="F25" s="175"/>
      <x:c r="G25" s="175" t="s">
        <x:v>719</x:v>
      </x:c>
      <x:c r="H25" s="498">
        <x:v>29</x:v>
      </x:c>
      <x:c r="I25" s="399">
        <x:v>45834</x:v>
      </x:c>
      <x:c r="J25" s="415">
        <x:v>0.55616438356164388</x:v>
      </x:c>
      <x:c r="K25" s="415"/>
      <x:c r="L25" s="665">
        <x:v>60000</x:v>
      </x:c>
      <x:c r="M25" s="665">
        <x:v>0</x:v>
      </x:c>
      <x:c r="N25" s="733">
        <x:v>79012.63</x:v>
      </x:c>
      <x:c r="O25" s="739">
        <x:f t="shared" si="2"/>
        <x:v>948151.56</x:v>
      </x:c>
      <x:c r="P25" s="675">
        <x:v>11061.77</x:v>
      </x:c>
      <x:c r="Q25" s="644">
        <x:v>13234.62</x:v>
      </x:c>
      <x:c r="R25" s="644">
        <x:v>790.13</x:v>
      </x:c>
      <x:c r="S25" s="799">
        <x:v>1580.25</x:v>
      </x:c>
      <x:c r="T25" s="678">
        <x:v>0</x:v>
      </x:c>
      <x:c r="U25" s="739">
        <x:v>0</x:v>
      </x:c>
      <x:c r="V25" s="675">
        <x:v>6758.41</x:v>
      </x:c>
      <x:c r="W25" s="799">
        <x:v>402.32</x:v>
      </x:c>
      <x:c r="X25" s="678"/>
      <x:c r="Y25" s="733">
        <x:f t="shared" si="0"/>
        <x:v>60000</x:v>
      </x:c>
      <x:c r="Z25" s="733">
        <x:f t="shared" si="1"/>
        <x:v>720000</x:v>
      </x:c>
      <x:c r="AA25" s="733"/>
    </x:row>
    <x:row r="26" spans="2:27" s="28" customFormat="1">
      <x:c r="B26" s="175" t="s">
        <x:v>709</x:v>
      </x:c>
      <x:c r="C26" s="175" t="s">
        <x:v>734</x:v>
      </x:c>
      <x:c r="D26" s="175" t="s">
        <x:v>722</x:v>
      </x:c>
      <x:c r="E26" s="836" t="s">
        <x:v>1176</x:v>
      </x:c>
      <x:c r="F26" s="175"/>
      <x:c r="G26" s="175" t="s">
        <x:v>708</x:v>
      </x:c>
      <x:c r="H26" s="498">
        <x:v>22</x:v>
      </x:c>
      <x:c r="I26" s="399">
        <x:v>45841</x:v>
      </x:c>
      <x:c r="J26" s="415">
        <x:v>0.53972602739726028</x:v>
      </x:c>
      <x:c r="K26" s="415"/>
      <x:c r="L26" s="665">
        <x:v>65000</x:v>
      </x:c>
      <x:c r="M26" s="665">
        <x:v>0</x:v>
      </x:c>
      <x:c r="N26" s="733">
        <x:v>86006.52</x:v>
      </x:c>
      <x:c r="O26" s="739">
        <x:f t="shared" si="2"/>
        <x:v>1032078.24</x:v>
      </x:c>
      <x:c r="P26" s="675">
        <x:v>12040.91</x:v>
      </x:c>
      <x:c r="Q26" s="644">
        <x:v>14406.09</x:v>
      </x:c>
      <x:c r="R26" s="644">
        <x:v>860.07</x:v>
      </x:c>
      <x:c r="S26" s="799">
        <x:v>1720.13</x:v>
      </x:c>
      <x:c r="T26" s="678">
        <x:v>0</x:v>
      </x:c>
      <x:c r="U26" s="739">
        <x:v>0</x:v>
      </x:c>
      <x:c r="V26" s="675">
        <x:v>7650.13</x:v>
      </x:c>
      <x:c r="W26" s="799">
        <x:v>455.41</x:v>
      </x:c>
      <x:c r="X26" s="678"/>
      <x:c r="Y26" s="733">
        <x:f t="shared" si="0"/>
        <x:v>65000</x:v>
      </x:c>
      <x:c r="Z26" s="733">
        <x:f t="shared" si="1"/>
        <x:v>780000</x:v>
      </x:c>
      <x:c r="AA26" s="733"/>
    </x:row>
    <x:row r="27" spans="2:27" s="28" customFormat="1">
      <x:c r="B27" s="175" t="s">
        <x:v>724</x:v>
      </x:c>
      <x:c r="C27" s="175" t="s">
        <x:v>735</x:v>
      </x:c>
      <x:c r="D27" s="175" t="s">
        <x:v>718</x:v>
      </x:c>
      <x:c r="E27" s="836" t="s">
        <x:v>1176</x:v>
      </x:c>
      <x:c r="F27" s="175"/>
      <x:c r="G27" s="175" t="s">
        <x:v>719</x:v>
      </x:c>
      <x:c r="H27" s="498">
        <x:v>29</x:v>
      </x:c>
      <x:c r="I27" s="399">
        <x:v>45908</x:v>
      </x:c>
      <x:c r="J27" s="415">
        <x:v>0.35890410958904112</x:v>
      </x:c>
      <x:c r="K27" s="415"/>
      <x:c r="L27" s="665">
        <x:v>100000</x:v>
      </x:c>
      <x:c r="M27" s="665">
        <x:v>0</x:v>
      </x:c>
      <x:c r="N27" s="733">
        <x:v>134963.72</x:v>
      </x:c>
      <x:c r="O27" s="739">
        <x:f t="shared" si="2"/>
        <x:v>1619564.6400000001</x:v>
      </x:c>
      <x:c r="P27" s="675">
        <x:v>18894.919999999998</x:v>
      </x:c>
      <x:c r="Q27" s="644">
        <x:v>22606.42</x:v>
      </x:c>
      <x:c r="R27" s="644">
        <x:v>1349.64</x:v>
      </x:c>
      <x:c r="S27" s="799">
        <x:v>2699.27</x:v>
      </x:c>
      <x:c r="T27" s="678">
        <x:v>0</x:v>
      </x:c>
      <x:c r="U27" s="739">
        <x:v>0</x:v>
      </x:c>
      <x:c r="V27" s="675">
        <x:v>13892.17</x:v>
      </x:c>
      <x:c r="W27" s="799">
        <x:v>826.99</x:v>
      </x:c>
      <x:c r="X27" s="678"/>
      <x:c r="Y27" s="733">
        <x:f t="shared" si="0"/>
        <x:v>100000</x:v>
      </x:c>
      <x:c r="Z27" s="733">
        <x:f t="shared" si="1"/>
        <x:v>1200000</x:v>
      </x:c>
      <x:c r="AA27" s="733"/>
    </x:row>
    <x:row r="28" spans="2:27" s="919" customFormat="1">
      <x:c r="B28" s="907" t="s">
        <x:v>714</x:v>
      </x:c>
      <x:c r="C28" s="907" t="s">
        <x:v>1268</x:v>
      </x:c>
      <x:c r="D28" s="907" t="s">
        <x:v>732</x:v>
      </x:c>
      <x:c r="E28" s="908" t="s">
        <x:v>1175</x:v>
      </x:c>
      <x:c r="F28" s="920"/>
      <x:c r="G28" s="907" t="s">
        <x:v>708</x:v>
      </x:c>
      <x:c r="H28" s="909">
        <x:v>29</x:v>
      </x:c>
      <x:c r="I28" s="910">
        <x:v>45978</x:v>
      </x:c>
      <x:c r="J28" s="911">
        <x:v>0</x:v>
      </x:c>
      <x:c r="K28" s="921"/>
      <x:c r="L28" s="912">
        <x:v>60000</x:v>
      </x:c>
      <x:c r="M28" s="912">
        <x:v>0</x:v>
      </x:c>
      <x:c r="N28" s="913">
        <x:v>79012.63</x:v>
      </x:c>
      <x:c r="O28" s="914">
        <x:f t="shared" ref="O28" si="3">N28*12</x:f>
        <x:v>948151.56</x:v>
      </x:c>
      <x:c r="P28" s="915">
        <x:v>11061.77</x:v>
      </x:c>
      <x:c r="Q28" s="916">
        <x:v>13234.62</x:v>
      </x:c>
      <x:c r="R28" s="916">
        <x:v>790.13</x:v>
      </x:c>
      <x:c r="S28" s="917">
        <x:v>1580.25</x:v>
      </x:c>
      <x:c r="T28" s="918">
        <x:v>0</x:v>
      </x:c>
      <x:c r="U28" s="914">
        <x:v>0</x:v>
      </x:c>
      <x:c r="V28" s="915">
        <x:v>6758.41</x:v>
      </x:c>
      <x:c r="W28" s="917">
        <x:v>402.32</x:v>
      </x:c>
      <x:c r="X28" s="918"/>
      <x:c r="Y28" s="913">
        <x:f t="shared" ref="Y28" si="4">L28</x:f>
        <x:v>60000</x:v>
      </x:c>
      <x:c r="Z28" s="913">
        <x:f t="shared" ref="Z28" si="5">Y28*12</x:f>
        <x:v>720000</x:v>
      </x:c>
      <x:c r="AA28" s="913"/>
    </x:row>
    <x:row r="29" spans="2:27" s="919" customFormat="1">
      <x:c r="B29" s="907" t="s">
        <x:v>720</x:v>
      </x:c>
      <x:c r="C29" s="907" t="s">
        <x:v>1179</x:v>
      </x:c>
      <x:c r="D29" s="907" t="s">
        <x:v>722</x:v>
      </x:c>
      <x:c r="E29" s="908" t="s">
        <x:v>1175</x:v>
      </x:c>
      <x:c r="F29" s="907"/>
      <x:c r="G29" s="907" t="s">
        <x:v>719</x:v>
      </x:c>
      <x:c r="H29" s="922">
        <x:v>28</x:v>
      </x:c>
      <x:c r="I29" s="923">
        <x:v>46001</x:v>
      </x:c>
      <x:c r="J29" s="924">
        <x:v>0</x:v>
      </x:c>
      <x:c r="K29" s="924"/>
      <x:c r="L29" s="912">
        <x:v>60000</x:v>
      </x:c>
      <x:c r="M29" s="912">
        <x:v>0</x:v>
      </x:c>
      <x:c r="N29" s="913">
        <x:v>79012.63</x:v>
      </x:c>
      <x:c r="O29" s="914">
        <x:f t="shared" si="2"/>
        <x:v>948151.56</x:v>
      </x:c>
      <x:c r="P29" s="915">
        <x:v>11061.77</x:v>
      </x:c>
      <x:c r="Q29" s="916">
        <x:v>13234.62</x:v>
      </x:c>
      <x:c r="R29" s="916">
        <x:v>790.13</x:v>
      </x:c>
      <x:c r="S29" s="917">
        <x:v>1580.25</x:v>
      </x:c>
      <x:c r="T29" s="918">
        <x:v>0</x:v>
      </x:c>
      <x:c r="U29" s="914">
        <x:v>0</x:v>
      </x:c>
      <x:c r="V29" s="915">
        <x:v>6758.41</x:v>
      </x:c>
      <x:c r="W29" s="917">
        <x:v>402.32</x:v>
      </x:c>
      <x:c r="X29" s="918"/>
      <x:c r="Y29" s="913">
        <x:f t="shared" si="0"/>
        <x:v>60000</x:v>
      </x:c>
      <x:c r="Z29" s="913">
        <x:f t="shared" si="1"/>
        <x:v>720000</x:v>
      </x:c>
      <x:c r="AA29" s="913"/>
    </x:row>
    <x:row r="30" spans="2:27" s="919" customFormat="1">
      <x:c r="B30" s="907" t="s">
        <x:v>720</x:v>
      </x:c>
      <x:c r="C30" s="925" t="s">
        <x:v>1180</x:v>
      </x:c>
      <x:c r="D30" s="907" t="s">
        <x:v>716</x:v>
      </x:c>
      <x:c r="E30" s="908" t="s">
        <x:v>1175</x:v>
      </x:c>
      <x:c r="F30" s="925"/>
      <x:c r="G30" s="907" t="s">
        <x:v>708</x:v>
      </x:c>
      <x:c r="H30" s="922">
        <x:v>31</x:v>
      </x:c>
      <x:c r="I30" s="923">
        <x:v>46006</x:v>
      </x:c>
      <x:c r="J30" s="924">
        <x:v>0</x:v>
      </x:c>
      <x:c r="K30" s="924"/>
      <x:c r="L30" s="912">
        <x:v>70000</x:v>
      </x:c>
      <x:c r="M30" s="912">
        <x:v>0</x:v>
      </x:c>
      <x:c r="N30" s="913">
        <x:v>93000.41</x:v>
      </x:c>
      <x:c r="O30" s="914">
        <x:f t="shared" si="2"/>
        <x:v>1116004.92</x:v>
      </x:c>
      <x:c r="P30" s="915">
        <x:v>13020.06</x:v>
      </x:c>
      <x:c r="Q30" s="916">
        <x:v>15577.57</x:v>
      </x:c>
      <x:c r="R30" s="916">
        <x:v>930</x:v>
      </x:c>
      <x:c r="S30" s="917">
        <x:v>1860.01</x:v>
      </x:c>
      <x:c r="T30" s="918">
        <x:v>0</x:v>
      </x:c>
      <x:c r="U30" s="914">
        <x:v>0</x:v>
      </x:c>
      <x:c r="V30" s="915">
        <x:v>8541.85</x:v>
      </x:c>
      <x:c r="W30" s="917">
        <x:v>508.49</x:v>
      </x:c>
      <x:c r="X30" s="918"/>
      <x:c r="Y30" s="913">
        <x:f t="shared" si="0"/>
        <x:v>70000</x:v>
      </x:c>
      <x:c r="Z30" s="913">
        <x:f t="shared" si="1"/>
        <x:v>840000</x:v>
      </x:c>
      <x:c r="AA30" s="913"/>
    </x:row>
    <x:row r="31" spans="2:27" s="919" customFormat="1" ht="17.25" thickBot="1">
      <x:c r="B31" s="907" t="s">
        <x:v>704</x:v>
      </x:c>
      <x:c r="C31" s="907" t="s">
        <x:v>736</x:v>
      </x:c>
      <x:c r="D31" s="907" t="s">
        <x:v>737</x:v>
      </x:c>
      <x:c r="E31" s="908" t="s">
        <x:v>1175</x:v>
      </x:c>
      <x:c r="F31" s="907"/>
      <x:c r="G31" s="907" t="s">
        <x:v>708</x:v>
      </x:c>
      <x:c r="H31" s="909">
        <x:v>50</x:v>
      </x:c>
      <x:c r="I31" s="910">
        <x:v>45917</x:v>
      </x:c>
      <x:c r="J31" s="911">
        <x:v>0.33698630136986302</x:v>
      </x:c>
      <x:c r="K31" s="911"/>
      <x:c r="L31" s="912">
        <x:v>32000</x:v>
      </x:c>
      <x:c r="M31" s="912">
        <x:v>0</x:v>
      </x:c>
      <x:c r="N31" s="913">
        <x:v>39846.86</x:v>
      </x:c>
      <x:c r="O31" s="914">
        <x:f t="shared" si="2"/>
        <x:v>478162.32</x:v>
      </x:c>
      <x:c r="P31" s="926">
        <x:v>5578.56</x:v>
      </x:c>
      <x:c r="Q31" s="927">
        <x:v>6674.35</x:v>
      </x:c>
      <x:c r="R31" s="927">
        <x:v>398.47</x:v>
      </x:c>
      <x:c r="S31" s="928">
        <x:v>796.94</x:v>
      </x:c>
      <x:c r="T31" s="918">
        <x:v>0</x:v>
      </x:c>
      <x:c r="U31" s="914">
        <x:v>0</x:v>
      </x:c>
      <x:c r="V31" s="926">
        <x:v>1764.77</x:v>
      </x:c>
      <x:c r="W31" s="928">
        <x:v>105.06</x:v>
      </x:c>
      <x:c r="X31" s="918"/>
      <x:c r="Y31" s="913">
        <x:f t="shared" si="0"/>
        <x:v>32000</x:v>
      </x:c>
      <x:c r="Z31" s="913">
        <x:f t="shared" si="1"/>
        <x:v>384000</x:v>
      </x:c>
      <x:c r="AA31" s="913"/>
    </x:row>
    <x:row r="34" spans="2:27" ht="17.25" thickBot="1">
      <x:c r="B34" s="176" t="s">
        <x:v>740</x:v>
      </x:c>
    </x:row>
    <x:row r="35" spans="2:27" s="28" customFormat="1">
      <x:c r="B35" s="322" t="s">
        <x:v>741</x:v>
      </x:c>
      <x:c r="C35" s="322" t="s">
        <x:v>742</x:v>
      </x:c>
      <x:c r="D35" s="322" t="s">
        <x:v>743</x:v>
      </x:c>
      <x:c r="E35" s="703" t="s">
        <x:v>1174</x:v>
      </x:c>
      <x:c r="F35" s="322" t="s">
        <x:v>707</x:v>
      </x:c>
      <x:c r="G35" s="322" t="s">
        <x:v>747</x:v>
      </x:c>
      <x:c r="H35" s="322" t="s">
        <x:v>747</x:v>
      </x:c>
      <x:c r="I35" s="323" t="s">
        <x:v>748</x:v>
      </x:c>
      <x:c r="J35" s="800"/>
      <x:c r="K35" s="800"/>
      <x:c r="L35" s="800">
        <x:f>L11</x:f>
        <x:v>0</x:v>
      </x:c>
      <x:c r="M35" s="800">
        <x:f t="shared" ref="M35:AA35" si="6">M11</x:f>
        <x:v>0</x:v>
      </x:c>
      <x:c r="N35" s="800">
        <x:v>420391.48</x:v>
      </x:c>
      <x:c r="O35" s="686">
        <x:f>N35*12</x:f>
        <x:v>5044697.76</x:v>
      </x:c>
      <x:c r="P35" s="526">
        <x:v>27305.8</x:v>
      </x:c>
      <x:c r="Q35" s="545">
        <x:v>32669.43</x:v>
      </x:c>
      <x:c r="R35" s="545">
        <x:v>1950.41</x:v>
      </x:c>
      <x:c r="S35" s="566">
        <x:v>3900.83</x:v>
      </x:c>
      <x:c r="T35" s="778">
        <x:v>0</x:v>
      </x:c>
      <x:c r="U35" s="686">
        <x:v>0</x:v>
      </x:c>
      <x:c r="V35" s="526">
        <x:v>71290.820000000007</x:v>
      </x:c>
      <x:c r="W35" s="566">
        <x:v>2993.39</x:v>
      </x:c>
      <x:c r="X35" s="778"/>
      <x:c r="Y35" s="800">
        <x:f t="shared" ref="Y35" si="7">L35</x:f>
        <x:v>0</x:v>
      </x:c>
      <x:c r="Z35" s="800">
        <x:f t="shared" ref="Z35" si="8">Y35*12</x:f>
        <x:v>0</x:v>
      </x:c>
      <x:c r="AA35" s="800">
        <x:f t="shared" si="6"/>
        <x:v>0</x:v>
      </x:c>
    </x:row>
    <x:row r="36" spans="2:27" s="324" customFormat="1">
      <x:c r="B36" s="907" t="s">
        <x:v>744</x:v>
      </x:c>
      <x:c r="C36" s="907" t="s">
        <x:v>745</x:v>
      </x:c>
      <x:c r="D36" s="907" t="s">
        <x:v>746</x:v>
      </x:c>
      <x:c r="E36" s="925" t="s">
        <x:v>1175</x:v>
      </x:c>
      <x:c r="F36" s="907" t="s">
        <x:v>747</x:v>
      </x:c>
      <x:c r="G36" s="907" t="s">
        <x:v>747</x:v>
      </x:c>
      <x:c r="H36" s="907" t="s">
        <x:v>747</x:v>
      </x:c>
      <x:c r="I36" s="907" t="s">
        <x:v>749</x:v>
      </x:c>
      <x:c r="J36" s="913"/>
      <x:c r="K36" s="913"/>
      <x:c r="L36" s="913">
        <x:v>60000</x:v>
      </x:c>
      <x:c r="M36" s="913">
        <x:v>0</x:v>
      </x:c>
      <x:c r="N36" s="913">
        <x:v>79012.63</x:v>
      </x:c>
      <x:c r="O36" s="914">
        <x:f t="shared" ref="O36:O39" si="9">N36*12</x:f>
        <x:v>948151.56</x:v>
      </x:c>
      <x:c r="P36" s="915">
        <x:v>11061.77</x:v>
      </x:c>
      <x:c r="Q36" s="916">
        <x:v>13234.62</x:v>
      </x:c>
      <x:c r="R36" s="916">
        <x:v>790.13</x:v>
      </x:c>
      <x:c r="S36" s="917">
        <x:v>1580.25</x:v>
      </x:c>
      <x:c r="T36" s="918">
        <x:v>0</x:v>
      </x:c>
      <x:c r="U36" s="914">
        <x:v>0</x:v>
      </x:c>
      <x:c r="V36" s="915">
        <x:v>6758.41</x:v>
      </x:c>
      <x:c r="W36" s="917">
        <x:v>402.32</x:v>
      </x:c>
      <x:c r="X36" s="918"/>
      <x:c r="Y36" s="913">
        <x:f t="shared" ref="Y36:Y39" si="10">L36</x:f>
        <x:v>60000</x:v>
      </x:c>
      <x:c r="Z36" s="913">
        <x:f t="shared" ref="Z36:Z39" si="11">Y36*12</x:f>
        <x:v>720000</x:v>
      </x:c>
      <x:c r="AA36" s="913"/>
    </x:row>
    <x:row r="37" spans="2:27" s="324" customFormat="1">
      <x:c r="B37" s="907" t="s">
        <x:v>1193</x:v>
      </x:c>
      <x:c r="C37" s="907" t="s">
        <x:v>745</x:v>
      </x:c>
      <x:c r="D37" s="907" t="s">
        <x:v>746</x:v>
      </x:c>
      <x:c r="E37" s="925" t="s">
        <x:v>1175</x:v>
      </x:c>
      <x:c r="F37" s="907" t="s">
        <x:v>747</x:v>
      </x:c>
      <x:c r="G37" s="907" t="s">
        <x:v>747</x:v>
      </x:c>
      <x:c r="H37" s="907" t="s">
        <x:v>747</x:v>
      </x:c>
      <x:c r="I37" s="907" t="s">
        <x:v>750</x:v>
      </x:c>
      <x:c r="J37" s="913"/>
      <x:c r="K37" s="913"/>
      <x:c r="L37" s="913">
        <x:v>60000</x:v>
      </x:c>
      <x:c r="M37" s="913">
        <x:v>0</x:v>
      </x:c>
      <x:c r="N37" s="913">
        <x:v>79012.63</x:v>
      </x:c>
      <x:c r="O37" s="914">
        <x:f t="shared" si="9"/>
        <x:v>948151.56</x:v>
      </x:c>
      <x:c r="P37" s="915">
        <x:v>11061.77</x:v>
      </x:c>
      <x:c r="Q37" s="916">
        <x:v>13234.62</x:v>
      </x:c>
      <x:c r="R37" s="916">
        <x:v>790.13</x:v>
      </x:c>
      <x:c r="S37" s="917">
        <x:v>1580.25</x:v>
      </x:c>
      <x:c r="T37" s="918">
        <x:v>0</x:v>
      </x:c>
      <x:c r="U37" s="914">
        <x:v>0</x:v>
      </x:c>
      <x:c r="V37" s="915">
        <x:v>6758.41</x:v>
      </x:c>
      <x:c r="W37" s="917">
        <x:v>402.32</x:v>
      </x:c>
      <x:c r="X37" s="918"/>
      <x:c r="Y37" s="913">
        <x:f t="shared" si="10"/>
        <x:v>60000</x:v>
      </x:c>
      <x:c r="Z37" s="913">
        <x:f t="shared" si="11"/>
        <x:v>720000</x:v>
      </x:c>
      <x:c r="AA37" s="913"/>
    </x:row>
    <x:row r="38" spans="2:27">
      <x:c r="B38" s="175" t="s">
        <x:v>712</x:v>
      </x:c>
      <x:c r="C38" s="175" t="s">
        <x:v>745</x:v>
      </x:c>
      <x:c r="D38" s="175" t="s">
        <x:v>746</x:v>
      </x:c>
      <x:c r="E38" s="321" t="s">
        <x:v>1176</x:v>
      </x:c>
      <x:c r="F38" s="175" t="s">
        <x:v>747</x:v>
      </x:c>
      <x:c r="G38" s="175" t="s">
        <x:v>747</x:v>
      </x:c>
      <x:c r="H38" s="175" t="s">
        <x:v>747</x:v>
      </x:c>
      <x:c r="I38" s="175" t="s">
        <x:v>751</x:v>
      </x:c>
      <x:c r="J38" s="733"/>
      <x:c r="K38" s="733"/>
      <x:c r="L38" s="733">
        <x:v>60000</x:v>
      </x:c>
      <x:c r="M38" s="733">
        <x:v>0</x:v>
      </x:c>
      <x:c r="N38" s="733">
        <x:v>79012.63</x:v>
      </x:c>
      <x:c r="O38" s="739">
        <x:f t="shared" si="9"/>
        <x:v>948151.56</x:v>
      </x:c>
      <x:c r="P38" s="675">
        <x:v>11061.77</x:v>
      </x:c>
      <x:c r="Q38" s="644">
        <x:v>13234.62</x:v>
      </x:c>
      <x:c r="R38" s="644">
        <x:v>790.13</x:v>
      </x:c>
      <x:c r="S38" s="799">
        <x:v>1580.25</x:v>
      </x:c>
      <x:c r="T38" s="678">
        <x:v>0</x:v>
      </x:c>
      <x:c r="U38" s="739">
        <x:v>0</x:v>
      </x:c>
      <x:c r="V38" s="675">
        <x:v>6758.41</x:v>
      </x:c>
      <x:c r="W38" s="799">
        <x:v>402.32</x:v>
      </x:c>
      <x:c r="X38" s="678"/>
      <x:c r="Y38" s="733">
        <x:f t="shared" si="10"/>
        <x:v>60000</x:v>
      </x:c>
      <x:c r="Z38" s="733">
        <x:f t="shared" si="11"/>
        <x:v>720000</x:v>
      </x:c>
      <x:c r="AA38" s="733"/>
    </x:row>
    <x:row r="39" spans="2:27" ht="17.25" thickBot="1">
      <x:c r="B39" s="175" t="s">
        <x:v>712</x:v>
      </x:c>
      <x:c r="C39" s="175" t="s">
        <x:v>745</x:v>
      </x:c>
      <x:c r="D39" s="175" t="s">
        <x:v>746</x:v>
      </x:c>
      <x:c r="E39" s="321" t="s">
        <x:v>1176</x:v>
      </x:c>
      <x:c r="F39" s="175" t="s">
        <x:v>747</x:v>
      </x:c>
      <x:c r="G39" s="175" t="s">
        <x:v>747</x:v>
      </x:c>
      <x:c r="H39" s="175" t="s">
        <x:v>747</x:v>
      </x:c>
      <x:c r="I39" s="175" t="s">
        <x:v>751</x:v>
      </x:c>
      <x:c r="J39" s="733"/>
      <x:c r="K39" s="733"/>
      <x:c r="L39" s="733">
        <x:v>60000</x:v>
      </x:c>
      <x:c r="M39" s="733">
        <x:v>0</x:v>
      </x:c>
      <x:c r="N39" s="733">
        <x:v>79012.63</x:v>
      </x:c>
      <x:c r="O39" s="739">
        <x:f t="shared" si="9"/>
        <x:v>948151.56</x:v>
      </x:c>
      <x:c r="P39" s="471">
        <x:v>11061.77</x:v>
      </x:c>
      <x:c r="Q39" s="584">
        <x:v>13234.62</x:v>
      </x:c>
      <x:c r="R39" s="584">
        <x:v>790.13</x:v>
      </x:c>
      <x:c r="S39" s="506">
        <x:v>1580.25</x:v>
      </x:c>
      <x:c r="T39" s="678">
        <x:v>0</x:v>
      </x:c>
      <x:c r="U39" s="739">
        <x:v>0</x:v>
      </x:c>
      <x:c r="V39" s="471">
        <x:v>6758.41</x:v>
      </x:c>
      <x:c r="W39" s="506">
        <x:v>402.32</x:v>
      </x:c>
      <x:c r="X39" s="678"/>
      <x:c r="Y39" s="733">
        <x:f t="shared" si="10"/>
        <x:v>60000</x:v>
      </x:c>
      <x:c r="Z39" s="733">
        <x:f t="shared" si="11"/>
        <x:v>720000</x:v>
      </x:c>
      <x:c r="AA39" s="733"/>
    </x:row>
    <x:row r="41" spans="2:27">
      <x:c r="K41" s="320"/>
    </x:row>
    <x:row r="42" spans="2:27" ht="17.25" thickBot="1">
      <x:c r="D42" s="1329" t="s">
        <x:v>232</x:v>
      </x:c>
      <x:c r="E42" s="1330"/>
      <x:c r="F42" s="1330"/>
      <x:c r="G42" s="1331"/>
      <x:c r="H42" s="518" t="s">
        <x:v>169</x:v>
      </x:c>
      <x:c r="I42" s="518" t="s">
        <x:v>264</x:v>
      </x:c>
      <x:c r="J42" s="518" t="s">
        <x:v>171</x:v>
      </x:c>
      <x:c r="K42" s="518" t="s">
        <x:v>172</x:v>
      </x:c>
      <x:c r="L42" s="518" t="s">
        <x:v>173</x:v>
      </x:c>
      <x:c r="M42" s="518" t="s">
        <x:v>174</x:v>
      </x:c>
      <x:c r="N42" s="518" t="s">
        <x:v>175</x:v>
      </x:c>
      <x:c r="O42" s="518" t="s">
        <x:v>176</x:v>
      </x:c>
      <x:c r="P42" s="518" t="s">
        <x:v>233</x:v>
      </x:c>
      <x:c r="Q42" s="518" t="s">
        <x:v>178</x:v>
      </x:c>
      <x:c r="R42" s="518" t="s">
        <x:v>179</x:v>
      </x:c>
      <x:c r="S42" s="670" t="s">
        <x:v>180</x:v>
      </x:c>
    </x:row>
    <x:row r="43" spans="2:27">
      <x:c r="D43" s="1332" t="s">
        <x:v>234</x:v>
      </x:c>
      <x:c r="E43" s="1333"/>
      <x:c r="F43" s="1333"/>
      <x:c r="G43" s="1333"/>
      <x:c r="H43" s="437">
        <x:f>'3. HR'!E7</x:f>
        <x:v>23</x:v>
      </x:c>
      <x:c r="I43" s="437">
        <x:f>'3. HR'!F7</x:f>
        <x:v>24</x:v>
      </x:c>
      <x:c r="J43" s="437">
        <x:f>'3. HR'!G7</x:f>
        <x:v>24</x:v>
      </x:c>
      <x:c r="K43" s="437">
        <x:f>'3. HR'!H7</x:f>
        <x:v>24</x:v>
      </x:c>
      <x:c r="L43" s="437">
        <x:f>'3. HR'!I7</x:f>
        <x:v>24</x:v>
      </x:c>
      <x:c r="M43" s="437">
        <x:f>'3. HR'!J7</x:f>
        <x:v>24</x:v>
      </x:c>
      <x:c r="N43" s="437">
        <x:f>'3. HR'!K7</x:f>
        <x:v>25</x:v>
      </x:c>
      <x:c r="O43" s="437">
        <x:f>'3. HR'!L7</x:f>
        <x:v>27</x:v>
      </x:c>
      <x:c r="P43" s="437">
        <x:f>'3. HR'!M7</x:f>
        <x:v>27</x:v>
      </x:c>
      <x:c r="Q43" s="437">
        <x:f>'3. HR'!N7</x:f>
        <x:v>27</x:v>
      </x:c>
      <x:c r="R43" s="437">
        <x:f>'3. HR'!O7</x:f>
        <x:v>27</x:v>
      </x:c>
      <x:c r="S43" s="610">
        <x:f>'3. HR'!P7</x:f>
        <x:v>27</x:v>
      </x:c>
    </x:row>
    <x:row r="44" spans="2:27" ht="17.25" thickBot="1">
      <x:c r="D44" s="1334" t="s">
        <x:v>235</x:v>
      </x:c>
      <x:c r="E44" s="1335"/>
      <x:c r="F44" s="1335"/>
      <x:c r="G44" s="1335"/>
      <x:c r="H44" s="472">
        <x:f>'3. HR'!E8</x:f>
        <x:v>1</x:v>
      </x:c>
      <x:c r="I44" s="472">
        <x:f>'3. HR'!F8</x:f>
        <x:v>1</x:v>
      </x:c>
      <x:c r="J44" s="472">
        <x:f>'3. HR'!G8</x:f>
        <x:v>0</x:v>
      </x:c>
      <x:c r="K44" s="472">
        <x:f>'3. HR'!H8</x:f>
        <x:v>0</x:v>
      </x:c>
      <x:c r="L44" s="472">
        <x:f>'3. HR'!I8</x:f>
        <x:v>0</x:v>
      </x:c>
      <x:c r="M44" s="472">
        <x:f>'3. HR'!J8</x:f>
        <x:v>0</x:v>
      </x:c>
      <x:c r="N44" s="472">
        <x:f>'3. HR'!K8</x:f>
        <x:v>1</x:v>
      </x:c>
      <x:c r="O44" s="472">
        <x:f>'3. HR'!L8</x:f>
        <x:v>2</x:v>
      </x:c>
      <x:c r="P44" s="472">
        <x:f>'3. HR'!M8</x:f>
        <x:v>0</x:v>
      </x:c>
      <x:c r="Q44" s="472">
        <x:f>'3. HR'!N8</x:f>
        <x:v>0</x:v>
      </x:c>
      <x:c r="R44" s="472">
        <x:f>'3. HR'!O8</x:f>
        <x:v>0</x:v>
      </x:c>
      <x:c r="S44" s="804">
        <x:f>'3. HR'!P8</x:f>
        <x:v>0</x:v>
      </x:c>
    </x:row>
    <x:row r="45" spans="2:27">
      <x:c r="D45" s="1332" t="s">
        <x:v>231</x:v>
      </x:c>
      <x:c r="E45" s="1336" t="s">
        <x:v>1177</x:v>
      </x:c>
      <x:c r="F45" s="1336"/>
      <x:c r="G45" s="1336"/>
      <x:c r="H45" s="437">
        <x:f>'3. HR'!E9</x:f>
        <x:v>2</x:v>
      </x:c>
      <x:c r="I45" s="437">
        <x:f>'3. HR'!F9</x:f>
        <x:v>2</x:v>
      </x:c>
      <x:c r="J45" s="437">
        <x:f>'3. HR'!G9</x:f>
        <x:v>2</x:v>
      </x:c>
      <x:c r="K45" s="437">
        <x:f>'3. HR'!H9</x:f>
        <x:v>2</x:v>
      </x:c>
      <x:c r="L45" s="437">
        <x:f>'3. HR'!I9</x:f>
        <x:v>2</x:v>
      </x:c>
      <x:c r="M45" s="437">
        <x:f>'3. HR'!J9</x:f>
        <x:v>2</x:v>
      </x:c>
      <x:c r="N45" s="437">
        <x:f>'3. HR'!K9</x:f>
        <x:v>3</x:v>
      </x:c>
      <x:c r="O45" s="437">
        <x:f>'3. HR'!L9</x:f>
        <x:v>3</x:v>
      </x:c>
      <x:c r="P45" s="437">
        <x:f>'3. HR'!M9</x:f>
        <x:v>3</x:v>
      </x:c>
      <x:c r="Q45" s="437">
        <x:f>'3. HR'!N9</x:f>
        <x:v>3</x:v>
      </x:c>
      <x:c r="R45" s="437">
        <x:f>'3. HR'!O9</x:f>
        <x:v>3</x:v>
      </x:c>
      <x:c r="S45" s="610">
        <x:f>'3. HR'!P9</x:f>
        <x:v>3</x:v>
      </x:c>
    </x:row>
    <x:row r="46" spans="2:27" ht="21" customHeight="1">
      <x:c r="D46" s="1339"/>
      <x:c r="E46" s="1337" t="s">
        <x:v>52</x:v>
      </x:c>
      <x:c r="F46" s="1337"/>
      <x:c r="G46" s="1337"/>
      <x:c r="H46" s="929">
        <x:f>SUM($N$10:$N$11)</x:f>
        <x:v>1100298.97</x:v>
      </x:c>
      <x:c r="I46" s="929">
        <x:f t="shared" ref="I46" si="12">SUM($N$10:$N$11)</x:f>
        <x:v>1100298.97</x:v>
      </x:c>
      <x:c r="J46" s="929">
        <x:f>SUM($N$10:$N$11)</x:f>
        <x:v>1100298.97</x:v>
      </x:c>
      <x:c r="K46" s="929">
        <x:f>SUM($N$10:$N$11)</x:f>
        <x:v>1100298.97</x:v>
      </x:c>
      <x:c r="L46" s="929">
        <x:f>SUM($N$10:$N$11)</x:f>
        <x:v>1100298.97</x:v>
      </x:c>
      <x:c r="M46" s="929">
        <x:f>SUM($N$10:$N$11)</x:f>
        <x:v>1100298.97</x:v>
      </x:c>
      <x:c r="N46" s="929">
        <x:f>SUM($N$10:$N$11)+$N$35</x:f>
        <x:v>1520690.45</x:v>
      </x:c>
      <x:c r="O46" s="929">
        <x:f>SUM($N$10:$N$11)+$N$35</x:f>
        <x:v>1520690.45</x:v>
      </x:c>
      <x:c r="P46" s="929">
        <x:f t="shared" ref="P46:S46" si="13">SUM($N$10:$N$11)+$N$35</x:f>
        <x:v>1520690.45</x:v>
      </x:c>
      <x:c r="Q46" s="929">
        <x:f t="shared" si="13"/>
        <x:v>1520690.45</x:v>
      </x:c>
      <x:c r="R46" s="929">
        <x:f t="shared" si="13"/>
        <x:v>1520690.45</x:v>
      </x:c>
      <x:c r="S46" s="930">
        <x:f t="shared" si="13"/>
        <x:v>1520690.45</x:v>
      </x:c>
    </x:row>
    <x:row r="47" spans="2:27" ht="17.45" customHeight="1">
      <x:c r="D47" s="1339"/>
      <x:c r="E47" s="1337" t="s">
        <x:v>53</x:v>
      </x:c>
      <x:c r="F47" s="1337"/>
      <x:c r="G47" s="1337"/>
      <x:c r="H47" s="929">
        <x:f>SUM($Q$10:$Q$11)</x:f>
        <x:v>65338.86</x:v>
      </x:c>
      <x:c r="I47" s="929">
        <x:f t="shared" ref="I47:M47" si="14">SUM($Q$10:$Q$11)</x:f>
        <x:v>65338.86</x:v>
      </x:c>
      <x:c r="J47" s="929">
        <x:f t="shared" si="14"/>
        <x:v>65338.86</x:v>
      </x:c>
      <x:c r="K47" s="929">
        <x:f t="shared" si="14"/>
        <x:v>65338.86</x:v>
      </x:c>
      <x:c r="L47" s="929">
        <x:f t="shared" si="14"/>
        <x:v>65338.86</x:v>
      </x:c>
      <x:c r="M47" s="929">
        <x:f t="shared" si="14"/>
        <x:v>65338.86</x:v>
      </x:c>
      <x:c r="N47" s="929">
        <x:f>SUM($Q$10:$Q$11)+$Q$35</x:f>
        <x:v>98008.290000000008</x:v>
      </x:c>
      <x:c r="O47" s="929">
        <x:f t="shared" ref="O47:S47" si="15">SUM($Q$10:$Q$11)+$Q$35</x:f>
        <x:v>98008.290000000008</x:v>
      </x:c>
      <x:c r="P47" s="929">
        <x:f t="shared" si="15"/>
        <x:v>98008.290000000008</x:v>
      </x:c>
      <x:c r="Q47" s="929">
        <x:f t="shared" si="15"/>
        <x:v>98008.290000000008</x:v>
      </x:c>
      <x:c r="R47" s="929">
        <x:f t="shared" si="15"/>
        <x:v>98008.290000000008</x:v>
      </x:c>
      <x:c r="S47" s="930">
        <x:f t="shared" si="15"/>
        <x:v>98008.290000000008</x:v>
      </x:c>
    </x:row>
    <x:row r="48" spans="2:27" ht="17.45" customHeight="1" thickBot="1">
      <x:c r="D48" s="1334"/>
      <x:c r="E48" s="1338" t="s">
        <x:v>54</x:v>
      </x:c>
      <x:c r="F48" s="1338"/>
      <x:c r="G48" s="1338"/>
      <x:c r="H48" s="931">
        <x:f>SUM($S$10:$S$11)</x:f>
        <x:v>7801.66</x:v>
      </x:c>
      <x:c r="I48" s="931">
        <x:f t="shared" ref="I48:M48" si="16">SUM($S$10:$S$11)</x:f>
        <x:v>7801.66</x:v>
      </x:c>
      <x:c r="J48" s="931">
        <x:f t="shared" si="16"/>
        <x:v>7801.66</x:v>
      </x:c>
      <x:c r="K48" s="931">
        <x:f t="shared" si="16"/>
        <x:v>7801.66</x:v>
      </x:c>
      <x:c r="L48" s="931">
        <x:f t="shared" si="16"/>
        <x:v>7801.66</x:v>
      </x:c>
      <x:c r="M48" s="931">
        <x:f t="shared" si="16"/>
        <x:v>7801.66</x:v>
      </x:c>
      <x:c r="N48" s="931">
        <x:f>SUM($S$10:$S$11)+$S$35</x:f>
        <x:v>11702.49</x:v>
      </x:c>
      <x:c r="O48" s="931">
        <x:f t="shared" ref="O48:S48" si="17">SUM($S$10:$S$11)+$S$35</x:f>
        <x:v>11702.49</x:v>
      </x:c>
      <x:c r="P48" s="931">
        <x:f t="shared" si="17"/>
        <x:v>11702.49</x:v>
      </x:c>
      <x:c r="Q48" s="931">
        <x:f t="shared" si="17"/>
        <x:v>11702.49</x:v>
      </x:c>
      <x:c r="R48" s="931">
        <x:f t="shared" si="17"/>
        <x:v>11702.49</x:v>
      </x:c>
      <x:c r="S48" s="932">
        <x:f t="shared" si="17"/>
        <x:v>11702.49</x:v>
      </x:c>
    </x:row>
    <x:row r="49" spans="4:19" ht="17.45" customHeight="1">
      <x:c r="D49" s="1332" t="s">
        <x:v>225</x:v>
      </x:c>
      <x:c r="E49" s="1336" t="s">
        <x:v>1178</x:v>
      </x:c>
      <x:c r="F49" s="1336"/>
      <x:c r="G49" s="1336"/>
      <x:c r="H49" s="437">
        <x:f>'3. HR'!E10</x:f>
        <x:v>10</x:v>
      </x:c>
      <x:c r="I49" s="437">
        <x:f>'3. HR'!F10</x:f>
        <x:v>11</x:v>
      </x:c>
      <x:c r="J49" s="437">
        <x:f>'3. HR'!G10</x:f>
        <x:v>11</x:v>
      </x:c>
      <x:c r="K49" s="437">
        <x:f>'3. HR'!H10</x:f>
        <x:v>11</x:v>
      </x:c>
      <x:c r="L49" s="437">
        <x:f>'3. HR'!I10</x:f>
        <x:v>11</x:v>
      </x:c>
      <x:c r="M49" s="437">
        <x:f>'3. HR'!J10</x:f>
        <x:v>11</x:v>
      </x:c>
      <x:c r="N49" s="437">
        <x:f>'3. HR'!K10</x:f>
        <x:v>11</x:v>
      </x:c>
      <x:c r="O49" s="437">
        <x:f>'3. HR'!L10</x:f>
        <x:v>11</x:v>
      </x:c>
      <x:c r="P49" s="437">
        <x:f>'3. HR'!M10</x:f>
        <x:v>11</x:v>
      </x:c>
      <x:c r="Q49" s="437">
        <x:f>'3. HR'!N10</x:f>
        <x:v>11</x:v>
      </x:c>
      <x:c r="R49" s="437">
        <x:f>'3. HR'!O10</x:f>
        <x:v>11</x:v>
      </x:c>
      <x:c r="S49" s="610">
        <x:f>'3. HR'!P10</x:f>
        <x:v>11</x:v>
      </x:c>
    </x:row>
    <x:row r="50" spans="4:19" ht="17.45" customHeight="1">
      <x:c r="D50" s="1339"/>
      <x:c r="E50" s="1337" t="s">
        <x:v>52</x:v>
      </x:c>
      <x:c r="F50" s="1337"/>
      <x:c r="G50" s="1337"/>
      <x:c r="H50" s="929">
        <x:f>670549+N36</x:f>
        <x:v>749561.63</x:v>
      </x:c>
      <x:c r="I50" s="1133">
        <x:f>SUM($N$12,$N$15,$N$18,$N$17,$N$22,$N$23,$N$29,$N$30,$N$31)+N28+$N$36+$N$37</x:f>
        <x:v>1053059.8599999999</x:v>
      </x:c>
      <x:c r="J50" s="929">
        <x:f>SUM($N$12,$N$15,$N$18,$N$17,$N$22,$N$23,$N$29,$N$30,$N$31)+N28+$N$36+$N$37</x:f>
        <x:v>1053059.8599999999</x:v>
      </x:c>
      <x:c r="K50" s="929">
        <x:f>SUM($N$12,$N$15,$N$18,$N$17,$N$22,$N$23,$N$29,$N$30,$N$31)+N28+$N$36+$N$37</x:f>
        <x:v>1053059.8599999999</x:v>
      </x:c>
      <x:c r="L50" s="929">
        <x:f>SUM($N$12,$N$15,$N$18,$N$17,$N$22,$N$23,$N$29,$N$30,$N$31)+N28+$N$36+$N$37</x:f>
        <x:v>1053059.8599999999</x:v>
      </x:c>
      <x:c r="M50" s="929">
        <x:f>SUM($N$12,$N$15,$N$18,$N$17,$N$22,$N$23,$N$29,$N$30,$N$31)+N28+$N$36+$N$37</x:f>
        <x:v>1053059.8599999999</x:v>
      </x:c>
      <x:c r="N50" s="929">
        <x:f>SUM($N$12,$N$15,$N$18,$N$17,$N$22,$N$23,$N$29,$N$30,$N$31+N28)+$N$36+$N$37</x:f>
        <x:v>1053059.8599999999</x:v>
      </x:c>
      <x:c r="O50" s="929">
        <x:f>SUM($N$12,$N$15,$N$18,$N$17,$N$22,$N$23,$N$29,$N$30,$N$31+N28)+$N$36+$N$37</x:f>
        <x:v>1053059.8599999999</x:v>
      </x:c>
      <x:c r="P50" s="929">
        <x:f>SUM($N$12,$N$15,$N$18,$N$17,$N$22,$N$23,$N$29,$N$30,$N$31+N28)+$N$36+$N$37</x:f>
        <x:v>1053059.8599999999</x:v>
      </x:c>
      <x:c r="Q50" s="929">
        <x:f>SUM($N$12,$N$15,$N$18,$N$17,$N$22,$N$23,$N$29,$N$30,$N$31+N28)+$N$36+$N$37</x:f>
        <x:v>1053059.8599999999</x:v>
      </x:c>
      <x:c r="R50" s="929">
        <x:f>SUM($N$12,$N$15,$N$18,$N$17,$N$22,$N$23,$N$29,$N$30,$N$31+N28)+$N$36+$N$37</x:f>
        <x:v>1053059.8599999999</x:v>
      </x:c>
      <x:c r="S50" s="930">
        <x:f>SUM($N$12,$N$15,$N$18,$N$17,$N$22,$N$23,$N$29,$N$30,$N$31+N28)+$N$36+$N$37</x:f>
        <x:v>1053059.8599999999</x:v>
      </x:c>
    </x:row>
    <x:row r="51" spans="4:19" ht="17.45" customHeight="1">
      <x:c r="D51" s="1339"/>
      <x:c r="E51" s="1337" t="s">
        <x:v>53</x:v>
      </x:c>
      <x:c r="F51" s="1337"/>
      <x:c r="G51" s="1337"/>
      <x:c r="H51" s="929">
        <x:f>112317+Q37</x:f>
        <x:v>125551.62</x:v>
      </x:c>
      <x:c r="I51" s="929">
        <x:f>SUM($Q$12,$Q$15,$Q$18,$Q$17,$Q$22,$Q$23,$Q$29,$Q$30,$Q$31+Q28)+$Q$37</x:f>
        <x:v>163152.92000000001</x:v>
      </x:c>
      <x:c r="J51" s="929">
        <x:f>SUM($Q$12,$Q$15,$Q$18,$Q$17,$Q$22,$Q$23,$Q$29,$Q$30,$Q$31+Q28)+$Q$36+$Q$37</x:f>
        <x:v>176387.54</x:v>
      </x:c>
      <x:c r="K51" s="929">
        <x:f>SUM($Q$12,$Q$15,$Q$18,$Q$17,$Q$22,$Q$23,$Q$29,$Q$30,$Q$31+Q28)+$Q$36+$Q$37</x:f>
        <x:v>176387.54</x:v>
      </x:c>
      <x:c r="L51" s="929">
        <x:f>SUM($Q$12,$Q$15,$Q$18,$Q$17,$Q$22,$Q$23,$Q$29,$Q$30,$Q$31+Q28)+$Q$36+$Q$37</x:f>
        <x:v>176387.54</x:v>
      </x:c>
      <x:c r="M51" s="929">
        <x:f>SUM($Q$12,$Q$15,$Q$18,$Q$17,$Q$22,$Q$23,$Q$29,$Q$30,$Q$31+Q28)+$Q$36+$Q$37</x:f>
        <x:v>176387.54</x:v>
      </x:c>
      <x:c r="N51" s="929">
        <x:f>SUM($Q$12,$Q$15,$Q$18,$Q$17,$Q$22,$Q$23,$Q$29,$Q$30,$Q$31+Q28)+$Q$36+$Q$37</x:f>
        <x:v>176387.54</x:v>
      </x:c>
      <x:c r="O51" s="929">
        <x:f>SUM($Q$12,$Q$15,$Q$18,$Q$17,$Q$22,$Q$23,$Q$29,$Q$30,$Q$31+Q28)+$Q$36+$Q$37</x:f>
        <x:v>176387.54</x:v>
      </x:c>
      <x:c r="P51" s="929">
        <x:f>SUM($Q$12,$Q$15,$Q$18,$Q$17,$Q$22,$Q$23,$Q$29,$Q$30,$Q$31+Q28)+$Q$36+$Q$37</x:f>
        <x:v>176387.54</x:v>
      </x:c>
      <x:c r="Q51" s="929">
        <x:f>SUM($Q$12,$Q$15,$Q$18,$Q$17,$Q$22,$Q$23,$Q$29,$Q$30,$Q$31+Q28)+$Q$36+$Q$37</x:f>
        <x:v>176387.54</x:v>
      </x:c>
      <x:c r="R51" s="929">
        <x:f>SUM($Q$12,$Q$15,$Q$18,$Q$17,$Q$22,$Q$23,$Q$29,$Q$30,$Q$31+Q28)+$Q$36+$Q$37</x:f>
        <x:v>176387.54</x:v>
      </x:c>
      <x:c r="S51" s="930">
        <x:f>SUM($Q$12,$Q$15,$Q$18,$Q$17,$Q$22,$Q$23,$Q$29,$Q$30,$Q$31+Q28)+$Q$36+$Q$37</x:f>
        <x:v>176387.54</x:v>
      </x:c>
    </x:row>
    <x:row r="52" spans="4:19" ht="17.45" customHeight="1" thickBot="1">
      <x:c r="D52" s="1334"/>
      <x:c r="E52" s="1338" t="s">
        <x:v>54</x:v>
      </x:c>
      <x:c r="F52" s="1338"/>
      <x:c r="G52" s="1338"/>
      <x:c r="H52" s="931">
        <x:f>13411+S37</x:f>
        <x:v>14991.25</x:v>
      </x:c>
      <x:c r="I52" s="931">
        <x:f>SUM($S$12,$S$15,$S$18,$S$17,$S$22,$S$23,$S$29,$S$30,$S$31+S28)+$S$37</x:f>
        <x:v>19480.95</x:v>
      </x:c>
      <x:c r="J52" s="931">
        <x:f>SUM($S$12,$S$15,$S$18,$S$17,$S$22,$S$23,$S$29,$S$30,$S$31+S28)+$S$36+$S$37</x:f>
        <x:v>21061.200000000001</x:v>
      </x:c>
      <x:c r="K52" s="931">
        <x:f>SUM($S$12,$S$15,$S$18,$S$17,$S$22,$S$23,$S$29,$S$30,$S$31+S28)+$S$36+$S$37</x:f>
        <x:v>21061.200000000001</x:v>
      </x:c>
      <x:c r="L52" s="931">
        <x:f>SUM($S$12,$S$15,$S$18,$S$17,$S$22,$S$23,$S$29,$S$30,$S$31+S28)+$S$36+$S$37</x:f>
        <x:v>21061.200000000001</x:v>
      </x:c>
      <x:c r="M52" s="931">
        <x:f>SUM($S$12,$S$15,$S$18,$S$17,$S$22,$S$23,$S$29,$S$30,$S$31+S28)+$S$36+$S$37</x:f>
        <x:v>21061.200000000001</x:v>
      </x:c>
      <x:c r="N52" s="931">
        <x:f>SUM($S$12,$S$15,$S$18,$S$17,$S$22,$S$23,$S$29,$S$30,$S$31+S28)+$S$36+$S$37</x:f>
        <x:v>21061.200000000001</x:v>
      </x:c>
      <x:c r="O52" s="931">
        <x:f>SUM($S$12,$S$15,$S$18,$S$17,$S$22,$S$23,$S$29,$S$30,$S$31+S28)+$S$36+$S$37</x:f>
        <x:v>21061.200000000001</x:v>
      </x:c>
      <x:c r="P52" s="931">
        <x:f>SUM($S$12,$S$15,$S$18,$S$17,$S$22,$S$23,$S$29,$S$30,$S$31+S28)+$S$36+$S$37</x:f>
        <x:v>21061.200000000001</x:v>
      </x:c>
      <x:c r="Q52" s="931">
        <x:f>SUM($S$12,$S$15,$S$18,$S$17,$S$22,$S$23,$S$29,$S$30,$S$31+S28)+$S$36+$S$37</x:f>
        <x:v>21061.200000000001</x:v>
      </x:c>
      <x:c r="R52" s="931">
        <x:f>SUM($S$12,$S$15,$S$18,$S$17,$S$22,$S$23,$S$29,$S$30,$S$31+S28)+$S$36+$S$37</x:f>
        <x:v>21061.200000000001</x:v>
      </x:c>
      <x:c r="S52" s="932">
        <x:f>SUM($S$12,$S$15,$S$18,$S$17,$S$22,$S$23,$S$29,$S$30,$S$31+S28)+$S$36+$S$37</x:f>
        <x:v>21061.200000000001</x:v>
      </x:c>
    </x:row>
    <x:row r="53" spans="4:19" ht="17.45" customHeight="1">
      <x:c r="D53" s="1332" t="s">
        <x:v>226</x:v>
      </x:c>
      <x:c r="E53" s="1336" t="s">
        <x:v>1178</x:v>
      </x:c>
      <x:c r="F53" s="1336"/>
      <x:c r="G53" s="1336"/>
      <x:c r="H53" s="437">
        <x:f>'3. HR'!E11</x:f>
        <x:v>11</x:v>
      </x:c>
      <x:c r="I53" s="437">
        <x:f>'3. HR'!F11</x:f>
        <x:v>11</x:v>
      </x:c>
      <x:c r="J53" s="437">
        <x:f>'3. HR'!G11</x:f>
        <x:v>11</x:v>
      </x:c>
      <x:c r="K53" s="437">
        <x:f>'3. HR'!H11</x:f>
        <x:v>11</x:v>
      </x:c>
      <x:c r="L53" s="437">
        <x:f>'3. HR'!I11</x:f>
        <x:v>11</x:v>
      </x:c>
      <x:c r="M53" s="437">
        <x:f>'3. HR'!J11</x:f>
        <x:v>11</x:v>
      </x:c>
      <x:c r="N53" s="437">
        <x:f>'3. HR'!K11</x:f>
        <x:v>11</x:v>
      </x:c>
      <x:c r="O53" s="437">
        <x:f>'3. HR'!L11</x:f>
        <x:v>13</x:v>
      </x:c>
      <x:c r="P53" s="437">
        <x:f>'3. HR'!M11</x:f>
        <x:v>13</x:v>
      </x:c>
      <x:c r="Q53" s="437">
        <x:f>'3. HR'!N11</x:f>
        <x:v>13</x:v>
      </x:c>
      <x:c r="R53" s="437">
        <x:f>'3. HR'!O11</x:f>
        <x:v>13</x:v>
      </x:c>
      <x:c r="S53" s="610">
        <x:f>'3. HR'!P11</x:f>
        <x:v>13</x:v>
      </x:c>
    </x:row>
    <x:row r="54" spans="4:19" ht="17.45" customHeight="1">
      <x:c r="D54" s="1339"/>
      <x:c r="E54" s="1337" t="s">
        <x:v>52</x:v>
      </x:c>
      <x:c r="F54" s="1337"/>
      <x:c r="G54" s="1337"/>
      <x:c r="H54" s="929">
        <x:f>827176</x:f>
        <x:v>827176</x:v>
      </x:c>
      <x:c r="I54" s="929">
        <x:f>SUM($N$13,$N$14,$N$16,$N$19,$N$20,$N$21,$N$24,$N$25,$N$26,$N$27)</x:f>
        <x:v>1022323.33</x:v>
      </x:c>
      <x:c r="J54" s="929">
        <x:f>SUM($N$13,$N$14,$N$16,$N$19,$N$20,$N$21,$N$24,$N$25,$N$26,$N$27)</x:f>
        <x:v>1022323.33</x:v>
      </x:c>
      <x:c r="K54" s="929">
        <x:f>SUM($N$13,$N$14,$N$16,$N$19,$N$20,$N$21,$N$24,$N$25,$N$26,$N$27)</x:f>
        <x:v>1022323.33</x:v>
      </x:c>
      <x:c r="L54" s="929">
        <x:f>SUM($N$13,$N$14,$N$16,$N$19,$N$20,$N$21,$N$24,$N$25,$N$26,$N$27)</x:f>
        <x:v>1022323.33</x:v>
      </x:c>
      <x:c r="M54" s="929">
        <x:f t="shared" ref="M54" si="18">SUM($N$13,$N$14,$N$16,$N$19,$N$20,$N$21,$N$24,$N$25,$N$26,$N$27)</x:f>
        <x:v>1022323.33</x:v>
      </x:c>
      <x:c r="N54" s="929">
        <x:f>SUM($N$13,$N$14,$N$16,$N$19,$N$20,$N$21,$N$24,$N$25,$N$26,$N$27)+$N$38+$N$39</x:f>
        <x:v>1180348.5899999999</x:v>
      </x:c>
      <x:c r="O54" s="929">
        <x:f>SUM($N$13,$N$14,$N$16,$N$19,$N$20,$N$21,$N$24,$N$25,$N$26,$N$27)+$N$38+$N$39</x:f>
        <x:v>1180348.5899999999</x:v>
      </x:c>
      <x:c r="P54" s="929">
        <x:f>SUM($N$13,$N$14,$N$16,$N$19,$N$20,$N$21,$N$24,$N$25,$N$26,$N$27)+$N$38+$N$39</x:f>
        <x:v>1180348.5899999999</x:v>
      </x:c>
      <x:c r="Q54" s="929">
        <x:f>SUM($N$13,$N$14,$N$16,$N$19,$N$20,$N$21,$N$24,$N$25,$N$26,$N$27)+$N$38+$N$39</x:f>
        <x:v>1180348.5899999999</x:v>
      </x:c>
      <x:c r="R54" s="929">
        <x:f>SUM($N$13,$N$14,$N$16,$N$19,$N$20,$N$21,$N$24,$N$25,$N$26,$N$27)+$N$38+$N$39</x:f>
        <x:v>1180348.5899999999</x:v>
      </x:c>
      <x:c r="S54" s="930">
        <x:f t="shared" ref="S54" si="19">SUM($N$13,$N$14,$N$16,$N$19,$N$20,$N$21,$N$24,$N$25,$N$26,$N$27)+$N$38+$N$39</x:f>
        <x:v>1180348.5899999999</x:v>
      </x:c>
    </x:row>
    <x:row r="55" spans="4:19" ht="17.45" customHeight="1">
      <x:c r="D55" s="1339"/>
      <x:c r="E55" s="1337" t="s">
        <x:v>53</x:v>
      </x:c>
      <x:c r="F55" s="1337"/>
      <x:c r="G55" s="1337"/>
      <x:c r="H55" s="929">
        <x:f>138552</x:f>
        <x:v>138552</x:v>
      </x:c>
      <x:c r="I55" s="929">
        <x:f t="shared" ref="I55:M55" si="20">SUM($Q$13,$Q$14,$Q$16,$Q$19,$Q$20,$Q$21,$Q$24,$Q$25,$Q$26,$Q$27)</x:f>
        <x:v>171239.15999999997</x:v>
      </x:c>
      <x:c r="J55" s="929">
        <x:f t="shared" si="20"/>
        <x:v>171239.15999999997</x:v>
      </x:c>
      <x:c r="K55" s="929">
        <x:f t="shared" si="20"/>
        <x:v>171239.15999999997</x:v>
      </x:c>
      <x:c r="L55" s="929">
        <x:f t="shared" si="20"/>
        <x:v>171239.15999999997</x:v>
      </x:c>
      <x:c r="M55" s="929">
        <x:f t="shared" si="20"/>
        <x:v>171239.15999999997</x:v>
      </x:c>
      <x:c r="N55" s="929">
        <x:f>SUM($Q$13,$Q$14,$Q$16,$Q$19,$Q$20,$Q$21,$Q$24,$Q$25,$Q$26,$Q$27)+$Q$38+$Q$39</x:f>
        <x:v>197708.39999999997</x:v>
      </x:c>
      <x:c r="O55" s="929">
        <x:f t="shared" ref="O55:S55" si="21">SUM($Q$13,$Q$14,$Q$16,$Q$19,$Q$20,$Q$21,$Q$24,$Q$25,$Q$26,$Q$27)+$Q$38+$Q$39</x:f>
        <x:v>197708.39999999997</x:v>
      </x:c>
      <x:c r="P55" s="929">
        <x:f t="shared" si="21"/>
        <x:v>197708.39999999997</x:v>
      </x:c>
      <x:c r="Q55" s="929">
        <x:f t="shared" si="21"/>
        <x:v>197708.39999999997</x:v>
      </x:c>
      <x:c r="R55" s="929">
        <x:f>SUM($Q$13,$Q$14,$Q$16,$Q$19,$Q$20,$Q$21,$Q$24,$Q$25,$Q$26,$Q$27)+$Q$38+$Q$39</x:f>
        <x:v>197708.39999999997</x:v>
      </x:c>
      <x:c r="S55" s="930">
        <x:f t="shared" si="21"/>
        <x:v>197708.39999999997</x:v>
      </x:c>
    </x:row>
    <x:row r="56" spans="4:19" ht="17.45" customHeight="1" thickBot="1">
      <x:c r="D56" s="1334"/>
      <x:c r="E56" s="1338" t="s">
        <x:v>54</x:v>
      </x:c>
      <x:c r="F56" s="1338"/>
      <x:c r="G56" s="1338"/>
      <x:c r="H56" s="931">
        <x:f>16544</x:f>
        <x:v>16544</x:v>
      </x:c>
      <x:c r="I56" s="931">
        <x:f t="shared" ref="I56:L56" si="22">SUM($S$13,$S$14,$S$16,$S$19,$S$20,$S$21,$S$24,$S$25,$S$26,$S$27)</x:f>
        <x:v>20446.460000000003</x:v>
      </x:c>
      <x:c r="J56" s="931">
        <x:f t="shared" si="22"/>
        <x:v>20446.460000000003</x:v>
      </x:c>
      <x:c r="K56" s="931">
        <x:f t="shared" si="22"/>
        <x:v>20446.460000000003</x:v>
      </x:c>
      <x:c r="L56" s="931">
        <x:f t="shared" si="22"/>
        <x:v>20446.460000000003</x:v>
      </x:c>
      <x:c r="M56" s="931">
        <x:f>SUM($S$13,$S$14,$S$16,$S$19,$S$20,$S$21,$S$24,$S$25,$S$26,$S$27)</x:f>
        <x:v>20446.460000000003</x:v>
      </x:c>
      <x:c r="N56" s="931">
        <x:f>SUM($S$13,$S$14,$S$16,$S$19,$S$20,$S$21,$S$24,$S$25,$S$26,$S$27)+$S$38+$S$39</x:f>
        <x:v>23606.960000000003</x:v>
      </x:c>
      <x:c r="O56" s="931">
        <x:f t="shared" ref="O56:Q56" si="23">SUM($S$13,$S$14,$S$16,$S$19,$S$20,$S$21,$S$24,$S$25,$S$26,$S$27)+$S$38+$S$39</x:f>
        <x:v>23606.960000000003</x:v>
      </x:c>
      <x:c r="P56" s="931">
        <x:f t="shared" si="23"/>
        <x:v>23606.960000000003</x:v>
      </x:c>
      <x:c r="Q56" s="931">
        <x:f t="shared" si="23"/>
        <x:v>23606.960000000003</x:v>
      </x:c>
      <x:c r="R56" s="931">
        <x:f>SUM($S$13,$S$14,$S$16,$S$19,$S$20,$S$21,$S$24,$S$25,$S$26,$S$27)+$S$38+$S$39</x:f>
        <x:v>23606.960000000003</x:v>
      </x:c>
      <x:c r="S56" s="932">
        <x:f>SUM($S$13,$S$14,$S$16,$S$19,$S$20,$S$21,$S$24,$S$25,$S$26,$S$27)+$S$38+$S$39</x:f>
        <x:v>23606.960000000003</x:v>
      </x:c>
    </x:row>
  </x:sheetData>
  <x:autoFilter ref="B9:AA31" xr:uid="{B999A7FD-B729-4311-B49E-655DEFB07BC7}"/>
  <x:mergeCells count="22">
    <x:mergeCell ref="D53:D56"/>
    <x:mergeCell ref="E52:G52"/>
    <x:mergeCell ref="E53:G53"/>
    <x:mergeCell ref="E54:G54"/>
    <x:mergeCell ref="E55:G55"/>
    <x:mergeCell ref="E56:G56"/>
    <x:mergeCell ref="E48:G48"/>
    <x:mergeCell ref="D45:D48"/>
    <x:mergeCell ref="E49:G49"/>
    <x:mergeCell ref="E50:G50"/>
    <x:mergeCell ref="E51:G51"/>
    <x:mergeCell ref="D49:D52"/>
    <x:mergeCell ref="D43:G43"/>
    <x:mergeCell ref="D44:G44"/>
    <x:mergeCell ref="E45:G45"/>
    <x:mergeCell ref="E46:G46"/>
    <x:mergeCell ref="E47:G47"/>
    <x:mergeCell ref="P5:S5"/>
    <x:mergeCell ref="V5:W5"/>
    <x:mergeCell ref="P6:Q6"/>
    <x:mergeCell ref="R6:S6"/>
    <x:mergeCell ref="D42:G42"/>
  </x:mergeCells>
  <x:phoneticPr fontId="70" type="noConversion"/>
  <x:pageMargins left="0.7" right="0.7" top="0.75" bottom="0.75" header="0.3" footer="0.3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638DC3-AF49-4313-A58E-743D409E129F}" mc:Ignorable="x14ac xr xr2 xr3">
  <x:sheetPr codeName="Sheet8"/>
  <x:dimension ref="B1:S48"/>
  <x:sheetViews>
    <x:sheetView zoomScale="70" zoomScaleNormal="70" workbookViewId="0">
      <x:selection activeCell="B1" sqref="B1"/>
    </x:sheetView>
  </x:sheetViews>
  <x:sheetFormatPr defaultColWidth="8.75" defaultRowHeight="16.5"/>
  <x:cols>
    <x:col min="1" max="1" width="1.25" style="21" customWidth="1"/>
    <x:col min="2" max="2" width="16.25" style="21" customWidth="1"/>
    <x:col min="3" max="3" width="19.5" style="21" customWidth="1"/>
    <x:col min="4" max="19" width="13.125" style="21" customWidth="1"/>
    <x:col min="20" max="16384" width="8.75" style="21"/>
  </x:cols>
  <x:sheetData>
    <x:row r="1" spans="2:16" ht="31.5">
      <x:c r="B1" s="26" t="s">
        <x:v>229</x:v>
      </x:c>
      <x:c r="C1" s="26"/>
      <x:c r="D1" s="26"/>
      <x:c r="N1" s="157" t="s">
        <x:v>499</x:v>
      </x:c>
      <x:c r="O1" s="157">
        <x:v>345</x:v>
      </x:c>
    </x:row>
    <x:row r="2" spans="2:16" ht="2.4500000000000002" customHeight="1">
      <x:c r="B2" s="29"/>
      <x:c r="C2" s="29"/>
      <x:c r="D2" s="29"/>
      <x:c r="E2" s="29"/>
      <x:c r="F2" s="29"/>
      <x:c r="G2" s="29"/>
    </x:row>
    <x:row r="3" spans="2:16" ht="7.9" customHeight="1"/>
    <x:row r="4" spans="2:16" ht="22.15" customHeight="1">
      <x:c r="B4" s="1341" t="s">
        <x:v>223</x:v>
      </x:c>
      <x:c r="C4" s="1342"/>
      <x:c r="D4" s="554" t="s">
        <x:v>169</x:v>
      </x:c>
      <x:c r="E4" s="554" t="s">
        <x:v>170</x:v>
      </x:c>
      <x:c r="F4" s="554" t="s">
        <x:v>171</x:v>
      </x:c>
      <x:c r="G4" s="554" t="s">
        <x:v>172</x:v>
      </x:c>
      <x:c r="H4" s="554" t="s">
        <x:v>173</x:v>
      </x:c>
      <x:c r="I4" s="554" t="s">
        <x:v>174</x:v>
      </x:c>
      <x:c r="J4" s="554" t="s">
        <x:v>175</x:v>
      </x:c>
      <x:c r="K4" s="554" t="s">
        <x:v>176</x:v>
      </x:c>
      <x:c r="L4" s="554" t="s">
        <x:v>177</x:v>
      </x:c>
      <x:c r="M4" s="554" t="s">
        <x:v>178</x:v>
      </x:c>
      <x:c r="N4" s="554" t="s">
        <x:v>179</x:v>
      </x:c>
      <x:c r="O4" s="554" t="s">
        <x:v>180</x:v>
      </x:c>
      <x:c r="P4" s="554" t="s">
        <x:v>477</x:v>
      </x:c>
    </x:row>
    <x:row r="5" spans="2:16" ht="22.15" customHeight="1">
      <x:c r="B5" s="1341" t="s">
        <x:v>230</x:v>
      </x:c>
      <x:c r="C5" s="1342"/>
      <x:c r="D5" s="401">
        <x:f>'3. HR'!E7</x:f>
        <x:v>23</x:v>
      </x:c>
      <x:c r="E5" s="401">
        <x:f>'3. HR'!F7</x:f>
        <x:v>24</x:v>
      </x:c>
      <x:c r="F5" s="401">
        <x:f>'3. HR'!G7</x:f>
        <x:v>24</x:v>
      </x:c>
      <x:c r="G5" s="401">
        <x:f>'3. HR'!H7</x:f>
        <x:v>24</x:v>
      </x:c>
      <x:c r="H5" s="401">
        <x:f>'3. HR'!I7</x:f>
        <x:v>24</x:v>
      </x:c>
      <x:c r="I5" s="401">
        <x:f>'3. HR'!J7</x:f>
        <x:v>24</x:v>
      </x:c>
      <x:c r="J5" s="401">
        <x:f>'3. HR'!K7</x:f>
        <x:v>25</x:v>
      </x:c>
      <x:c r="K5" s="401">
        <x:f>'3. HR'!L7</x:f>
        <x:v>27</x:v>
      </x:c>
      <x:c r="L5" s="401">
        <x:f>'3. HR'!M7</x:f>
        <x:v>27</x:v>
      </x:c>
      <x:c r="M5" s="401">
        <x:f>'3. HR'!N7</x:f>
        <x:v>27</x:v>
      </x:c>
      <x:c r="N5" s="401">
        <x:f>'3. HR'!O7</x:f>
        <x:v>27</x:v>
      </x:c>
      <x:c r="O5" s="401">
        <x:f>'3. HR'!P7</x:f>
        <x:v>27</x:v>
      </x:c>
      <x:c r="P5" s="491"/>
    </x:row>
    <x:row r="6" spans="2:16" s="30" customFormat="1" ht="22.15" customHeight="1">
      <x:c r="B6" s="1350" t="s">
        <x:v>464</x:v>
      </x:c>
      <x:c r="C6" s="153" t="s">
        <x:v>231</x:v>
      </x:c>
      <x:c r="D6" s="401">
        <x:v>2</x:v>
      </x:c>
      <x:c r="E6" s="401">
        <x:v>2</x:v>
      </x:c>
      <x:c r="F6" s="401">
        <x:v>2</x:v>
      </x:c>
      <x:c r="G6" s="401">
        <x:v>2</x:v>
      </x:c>
      <x:c r="H6" s="401">
        <x:v>2</x:v>
      </x:c>
      <x:c r="I6" s="401">
        <x:v>2</x:v>
      </x:c>
      <x:c r="J6" s="401">
        <x:v>3</x:v>
      </x:c>
      <x:c r="K6" s="401">
        <x:v>3</x:v>
      </x:c>
      <x:c r="L6" s="401">
        <x:v>3</x:v>
      </x:c>
      <x:c r="M6" s="401">
        <x:v>3</x:v>
      </x:c>
      <x:c r="N6" s="401">
        <x:v>3</x:v>
      </x:c>
      <x:c r="O6" s="401">
        <x:v>3</x:v>
      </x:c>
      <x:c r="P6" s="491"/>
    </x:row>
    <x:row r="7" spans="2:16" s="30" customFormat="1" ht="22.15" customHeight="1">
      <x:c r="B7" s="1348"/>
      <x:c r="C7" s="722" t="s">
        <x:v>225</x:v>
      </x:c>
      <x:c r="D7" s="401">
        <x:f>'3. HR'!E10</x:f>
        <x:v>10</x:v>
      </x:c>
      <x:c r="E7" s="401">
        <x:f>'3. HR'!F10</x:f>
        <x:v>11</x:v>
      </x:c>
      <x:c r="F7" s="401">
        <x:f>'3. HR'!G10</x:f>
        <x:v>11</x:v>
      </x:c>
      <x:c r="G7" s="401">
        <x:f>'3. HR'!H10</x:f>
        <x:v>11</x:v>
      </x:c>
      <x:c r="H7" s="401">
        <x:f>'3. HR'!I10</x:f>
        <x:v>11</x:v>
      </x:c>
      <x:c r="I7" s="401">
        <x:f>'3. HR'!J10</x:f>
        <x:v>11</x:v>
      </x:c>
      <x:c r="J7" s="401">
        <x:v>12</x:v>
      </x:c>
      <x:c r="K7" s="401">
        <x:v>12</x:v>
      </x:c>
      <x:c r="L7" s="401">
        <x:v>12</x:v>
      </x:c>
      <x:c r="M7" s="401">
        <x:v>12</x:v>
      </x:c>
      <x:c r="N7" s="401">
        <x:v>12</x:v>
      </x:c>
      <x:c r="O7" s="401">
        <x:v>12</x:v>
      </x:c>
      <x:c r="P7" s="491"/>
    </x:row>
    <x:row r="8" spans="2:16" s="30" customFormat="1" ht="22.15" customHeight="1" thickBot="1">
      <x:c r="B8" s="1351"/>
      <x:c r="C8" s="807" t="s">
        <x:v>226</x:v>
      </x:c>
      <x:c r="D8" s="682">
        <x:f>'3. HR'!E11</x:f>
        <x:v>11</x:v>
      </x:c>
      <x:c r="E8" s="682">
        <x:f>'3. HR'!F11</x:f>
        <x:v>11</x:v>
      </x:c>
      <x:c r="F8" s="682">
        <x:f>'3. HR'!G11</x:f>
        <x:v>11</x:v>
      </x:c>
      <x:c r="G8" s="682">
        <x:f>'3. HR'!H11</x:f>
        <x:v>11</x:v>
      </x:c>
      <x:c r="H8" s="682">
        <x:f>'3. HR'!I11</x:f>
        <x:v>11</x:v>
      </x:c>
      <x:c r="I8" s="682">
        <x:f>'3. HR'!J11</x:f>
        <x:v>11</x:v>
      </x:c>
      <x:c r="J8" s="682">
        <x:f>'3. HR'!K11</x:f>
        <x:v>11</x:v>
      </x:c>
      <x:c r="K8" s="682">
        <x:f>'3. HR'!L11</x:f>
        <x:v>13</x:v>
      </x:c>
      <x:c r="L8" s="682">
        <x:f>'3. HR'!M11</x:f>
        <x:v>13</x:v>
      </x:c>
      <x:c r="M8" s="682">
        <x:f>'3. HR'!N11</x:f>
        <x:v>13</x:v>
      </x:c>
      <x:c r="N8" s="682">
        <x:f>'3. HR'!O11</x:f>
        <x:v>13</x:v>
      </x:c>
      <x:c r="O8" s="682">
        <x:f>'3. HR'!P11</x:f>
        <x:v>13</x:v>
      </x:c>
      <x:c r="P8" s="491"/>
    </x:row>
    <x:row r="9" spans="2:16" ht="22.15" customHeight="1">
      <x:c r="B9" s="1343" t="s">
        <x:v>461</x:v>
      </x:c>
      <x:c r="C9" s="1344"/>
      <x:c r="D9" s="641">
        <x:v>345</x:v>
      </x:c>
      <x:c r="E9" s="641">
        <x:v>345</x:v>
      </x:c>
      <x:c r="F9" s="641">
        <x:v>345</x:v>
      </x:c>
      <x:c r="G9" s="641">
        <x:v>345</x:v>
      </x:c>
      <x:c r="H9" s="641">
        <x:v>345</x:v>
      </x:c>
      <x:c r="I9" s="641">
        <x:v>345</x:v>
      </x:c>
      <x:c r="J9" s="641">
        <x:v>345</x:v>
      </x:c>
      <x:c r="K9" s="641">
        <x:v>345</x:v>
      </x:c>
      <x:c r="L9" s="641">
        <x:v>345</x:v>
      </x:c>
      <x:c r="M9" s="641">
        <x:v>345</x:v>
      </x:c>
      <x:c r="N9" s="641">
        <x:v>345</x:v>
      </x:c>
      <x:c r="O9" s="641">
        <x:v>345</x:v>
      </x:c>
      <x:c r="P9" s="491"/>
    </x:row>
    <x:row r="10" spans="2:16" ht="22.15" customHeight="1" thickBot="1">
      <x:c r="B10" s="1345" t="s">
        <x:v>465</x:v>
      </x:c>
      <x:c r="C10" s="1346"/>
      <x:c r="D10" s="547">
        <x:v>22</x:v>
      </x:c>
      <x:c r="E10" s="547">
        <x:v>22</x:v>
      </x:c>
      <x:c r="F10" s="547">
        <x:v>22</x:v>
      </x:c>
      <x:c r="G10" s="547">
        <x:v>22</x:v>
      </x:c>
      <x:c r="H10" s="547">
        <x:v>22</x:v>
      </x:c>
      <x:c r="I10" s="547">
        <x:v>22</x:v>
      </x:c>
      <x:c r="J10" s="547">
        <x:v>22</x:v>
      </x:c>
      <x:c r="K10" s="547">
        <x:v>22</x:v>
      </x:c>
      <x:c r="L10" s="547">
        <x:v>22</x:v>
      </x:c>
      <x:c r="M10" s="547">
        <x:v>22</x:v>
      </x:c>
      <x:c r="N10" s="547">
        <x:v>22</x:v>
      </x:c>
      <x:c r="O10" s="547">
        <x:v>23</x:v>
      </x:c>
      <x:c r="P10" s="491"/>
    </x:row>
    <x:row r="11" spans="2:16" ht="22.15" customHeight="1">
      <x:c r="B11" s="1347" t="s">
        <x:v>463</x:v>
      </x:c>
      <x:c r="C11" s="579" t="s">
        <x:v>231</x:v>
      </x:c>
      <x:c r="D11" s="538">
        <x:f>D6*D9*D10</x:f>
        <x:v>15180</x:v>
      </x:c>
      <x:c r="E11" s="538">
        <x:f t="shared" ref="E11:O11" si="0">E6*E9*E10</x:f>
        <x:v>15180</x:v>
      </x:c>
      <x:c r="F11" s="538">
        <x:f t="shared" si="0"/>
        <x:v>15180</x:v>
      </x:c>
      <x:c r="G11" s="538">
        <x:f t="shared" si="0"/>
        <x:v>15180</x:v>
      </x:c>
      <x:c r="H11" s="538">
        <x:f t="shared" si="0"/>
        <x:v>15180</x:v>
      </x:c>
      <x:c r="I11" s="538">
        <x:f t="shared" si="0"/>
        <x:v>15180</x:v>
      </x:c>
      <x:c r="J11" s="538">
        <x:f t="shared" si="0"/>
        <x:v>22770</x:v>
      </x:c>
      <x:c r="K11" s="538">
        <x:f t="shared" si="0"/>
        <x:v>22770</x:v>
      </x:c>
      <x:c r="L11" s="538">
        <x:f t="shared" si="0"/>
        <x:v>22770</x:v>
      </x:c>
      <x:c r="M11" s="538">
        <x:f t="shared" si="0"/>
        <x:v>22770</x:v>
      </x:c>
      <x:c r="N11" s="538">
        <x:f t="shared" si="0"/>
        <x:v>22770</x:v>
      </x:c>
      <x:c r="O11" s="538">
        <x:f t="shared" si="0"/>
        <x:v>23805</x:v>
      </x:c>
      <x:c r="P11" s="479">
        <x:f>SUM(D11:O11)</x:f>
        <x:v>228735</x:v>
      </x:c>
    </x:row>
    <x:row r="12" spans="2:16" ht="22.15" customHeight="1">
      <x:c r="B12" s="1348"/>
      <x:c r="C12" s="722" t="s">
        <x:v>466</x:v>
      </x:c>
      <x:c r="D12" s="479">
        <x:f>D7*D9*D10</x:f>
        <x:v>75900</x:v>
      </x:c>
      <x:c r="E12" s="479">
        <x:f t="shared" ref="E12:O12" si="1">E7*E9*E10</x:f>
        <x:v>83490</x:v>
      </x:c>
      <x:c r="F12" s="479">
        <x:f t="shared" si="1"/>
        <x:v>83490</x:v>
      </x:c>
      <x:c r="G12" s="479">
        <x:f t="shared" si="1"/>
        <x:v>83490</x:v>
      </x:c>
      <x:c r="H12" s="479">
        <x:f t="shared" si="1"/>
        <x:v>83490</x:v>
      </x:c>
      <x:c r="I12" s="479">
        <x:f t="shared" si="1"/>
        <x:v>83490</x:v>
      </x:c>
      <x:c r="J12" s="479">
        <x:f t="shared" si="1"/>
        <x:v>91080</x:v>
      </x:c>
      <x:c r="K12" s="479">
        <x:f t="shared" si="1"/>
        <x:v>91080</x:v>
      </x:c>
      <x:c r="L12" s="479">
        <x:f t="shared" si="1"/>
        <x:v>91080</x:v>
      </x:c>
      <x:c r="M12" s="479">
        <x:f t="shared" si="1"/>
        <x:v>91080</x:v>
      </x:c>
      <x:c r="N12" s="479">
        <x:f t="shared" si="1"/>
        <x:v>91080</x:v>
      </x:c>
      <x:c r="O12" s="479">
        <x:f t="shared" si="1"/>
        <x:v>95220</x:v>
      </x:c>
      <x:c r="P12" s="479">
        <x:f t="shared" ref="P12:P14" si="2">SUM(D12:O12)</x:f>
        <x:v>1043970</x:v>
      </x:c>
    </x:row>
    <x:row r="13" spans="2:16" ht="22.15" customHeight="1">
      <x:c r="B13" s="1349"/>
      <x:c r="C13" s="722" t="s">
        <x:v>467</x:v>
      </x:c>
      <x:c r="D13" s="479">
        <x:f t="shared" ref="D13:O13" si="3">D8*D9*D10</x:f>
        <x:v>83490</x:v>
      </x:c>
      <x:c r="E13" s="479">
        <x:f t="shared" si="3"/>
        <x:v>83490</x:v>
      </x:c>
      <x:c r="F13" s="479">
        <x:f t="shared" si="3"/>
        <x:v>83490</x:v>
      </x:c>
      <x:c r="G13" s="479">
        <x:f t="shared" si="3"/>
        <x:v>83490</x:v>
      </x:c>
      <x:c r="H13" s="479">
        <x:f t="shared" si="3"/>
        <x:v>83490</x:v>
      </x:c>
      <x:c r="I13" s="479">
        <x:f t="shared" si="3"/>
        <x:v>83490</x:v>
      </x:c>
      <x:c r="J13" s="479">
        <x:f t="shared" si="3"/>
        <x:v>83490</x:v>
      </x:c>
      <x:c r="K13" s="479">
        <x:f t="shared" si="3"/>
        <x:v>98670</x:v>
      </x:c>
      <x:c r="L13" s="479">
        <x:f t="shared" si="3"/>
        <x:v>98670</x:v>
      </x:c>
      <x:c r="M13" s="479">
        <x:f t="shared" si="3"/>
        <x:v>98670</x:v>
      </x:c>
      <x:c r="N13" s="479">
        <x:f t="shared" si="3"/>
        <x:v>98670</x:v>
      </x:c>
      <x:c r="O13" s="479">
        <x:f t="shared" si="3"/>
        <x:v>103155</x:v>
      </x:c>
      <x:c r="P13" s="479">
        <x:f t="shared" si="2"/>
        <x:v>1082265</x:v>
      </x:c>
    </x:row>
    <x:row r="14" spans="2:16" ht="22.15" customHeight="1">
      <x:c r="B14" s="1341" t="s">
        <x:v>227</x:v>
      </x:c>
      <x:c r="C14" s="1342"/>
      <x:c r="D14" s="676">
        <x:f>SUM(D11:D13)</x:f>
        <x:v>174570</x:v>
      </x:c>
      <x:c r="E14" s="676">
        <x:f t="shared" ref="E14:O14" si="4">SUM(E11:E13)</x:f>
        <x:v>182160</x:v>
      </x:c>
      <x:c r="F14" s="676">
        <x:f t="shared" si="4"/>
        <x:v>182160</x:v>
      </x:c>
      <x:c r="G14" s="676">
        <x:f t="shared" si="4"/>
        <x:v>182160</x:v>
      </x:c>
      <x:c r="H14" s="676">
        <x:f t="shared" si="4"/>
        <x:v>182160</x:v>
      </x:c>
      <x:c r="I14" s="676">
        <x:f t="shared" si="4"/>
        <x:v>182160</x:v>
      </x:c>
      <x:c r="J14" s="676">
        <x:f t="shared" si="4"/>
        <x:v>197340</x:v>
      </x:c>
      <x:c r="K14" s="676">
        <x:f t="shared" si="4"/>
        <x:v>212520</x:v>
      </x:c>
      <x:c r="L14" s="676">
        <x:f t="shared" si="4"/>
        <x:v>212520</x:v>
      </x:c>
      <x:c r="M14" s="676">
        <x:f t="shared" si="4"/>
        <x:v>212520</x:v>
      </x:c>
      <x:c r="N14" s="676">
        <x:f t="shared" si="4"/>
        <x:v>212520</x:v>
      </x:c>
      <x:c r="O14" s="676">
        <x:f t="shared" si="4"/>
        <x:v>222180</x:v>
      </x:c>
      <x:c r="P14" s="676">
        <x:f t="shared" si="2"/>
        <x:v>2354970</x:v>
      </x:c>
    </x:row>
    <x:row r="15" spans="2:16">
      <x:c r="B15" s="28"/>
      <x:c r="C15" s="28"/>
      <x:c r="D15" s="28"/>
      <x:c r="E15" s="28"/>
      <x:c r="F15" s="28"/>
      <x:c r="G15" s="28"/>
      <x:c r="H15" s="28"/>
      <x:c r="I15" s="28"/>
      <x:c r="J15" s="1340" t="s">
        <x:v>228</x:v>
      </x:c>
      <x:c r="K15" s="1340"/>
      <x:c r="L15"/>
      <x:c r="M15"/>
      <x:c r="N15"/>
      <x:c r="O15"/>
      <x:c r="P15"/>
    </x:row>
    <x:row r="16" spans="2:16" ht="31.5">
      <x:c r="B16" s="26" t="s">
        <x:v>476</x:v>
      </x:c>
      <x:c r="C16" s="26"/>
      <x:c r="D16" s="26"/>
      <x:c r="O16" s="157" t="s">
        <x:v>499</x:v>
      </x:c>
      <x:c r="P16" s="157">
        <x:v>165</x:v>
      </x:c>
    </x:row>
    <x:row r="19" spans="2:19" customFormat="1" ht="22.9" customHeight="1">
      <x:c r="B19" s="416"/>
      <x:c r="C19" s="416"/>
      <x:c r="D19" s="416"/>
      <x:c r="E19" s="708"/>
      <x:c r="F19" s="495" t="s">
        <x:v>224</x:v>
      </x:c>
      <x:c r="G19" s="495">
        <x:f>D10</x:f>
        <x:v>22</x:v>
      </x:c>
      <x:c r="H19" s="495">
        <x:f t="shared" ref="H19:R19" si="5">E10</x:f>
        <x:v>22</x:v>
      </x:c>
      <x:c r="I19" s="495">
        <x:f t="shared" si="5"/>
        <x:v>22</x:v>
      </x:c>
      <x:c r="J19" s="495">
        <x:f t="shared" si="5"/>
        <x:v>22</x:v>
      </x:c>
      <x:c r="K19" s="495">
        <x:f t="shared" si="5"/>
        <x:v>22</x:v>
      </x:c>
      <x:c r="L19" s="495">
        <x:f t="shared" si="5"/>
        <x:v>22</x:v>
      </x:c>
      <x:c r="M19" s="495">
        <x:f t="shared" si="5"/>
        <x:v>22</x:v>
      </x:c>
      <x:c r="N19" s="495">
        <x:f t="shared" si="5"/>
        <x:v>22</x:v>
      </x:c>
      <x:c r="O19" s="495">
        <x:f t="shared" si="5"/>
        <x:v>22</x:v>
      </x:c>
      <x:c r="P19" s="495">
        <x:f t="shared" si="5"/>
        <x:v>22</x:v>
      </x:c>
      <x:c r="Q19" s="495">
        <x:f t="shared" si="5"/>
        <x:v>22</x:v>
      </x:c>
      <x:c r="R19" s="495">
        <x:f t="shared" si="5"/>
        <x:v>23</x:v>
      </x:c>
      <x:c r="S19" s="486"/>
    </x:row>
    <x:row r="20" spans="2:19" customFormat="1" ht="22.9" customHeight="1">
      <x:c r="B20" s="458" t="s">
        <x:v>490</x:v>
      </x:c>
      <x:c r="C20" s="458" t="s">
        <x:v>492</x:v>
      </x:c>
      <x:c r="D20" s="458" t="s">
        <x:v>493</x:v>
      </x:c>
      <x:c r="E20" s="458" t="s">
        <x:v>494</x:v>
      </x:c>
      <x:c r="F20" s="458" t="s">
        <x:v>470</x:v>
      </x:c>
      <x:c r="G20" s="478" t="s">
        <x:v>169</x:v>
      </x:c>
      <x:c r="H20" s="495" t="s">
        <x:v>170</x:v>
      </x:c>
      <x:c r="I20" s="495" t="s">
        <x:v>171</x:v>
      </x:c>
      <x:c r="J20" s="495" t="s">
        <x:v>172</x:v>
      </x:c>
      <x:c r="K20" s="495" t="s">
        <x:v>173</x:v>
      </x:c>
      <x:c r="L20" s="495" t="s">
        <x:v>174</x:v>
      </x:c>
      <x:c r="M20" s="495" t="s">
        <x:v>175</x:v>
      </x:c>
      <x:c r="N20" s="495" t="s">
        <x:v>176</x:v>
      </x:c>
      <x:c r="O20" s="495" t="s">
        <x:v>177</x:v>
      </x:c>
      <x:c r="P20" s="495" t="s">
        <x:v>178</x:v>
      </x:c>
      <x:c r="Q20" s="495" t="s">
        <x:v>179</x:v>
      </x:c>
      <x:c r="R20" s="495" t="s">
        <x:v>180</x:v>
      </x:c>
      <x:c r="S20" s="495" t="s">
        <x:v>477</x:v>
      </x:c>
    </x:row>
    <x:row r="21" spans="2:19" customFormat="1" ht="22.9" customHeight="1">
      <x:c r="B21" s="1354" t="s">
        <x:v>478</x:v>
      </x:c>
      <x:c r="C21" s="549" t="s">
        <x:v>479</x:v>
      </x:c>
      <x:c r="D21" s="549" t="s">
        <x:v>471</x:v>
      </x:c>
      <x:c r="E21" s="751" t="s">
        <x:v>496</x:v>
      </x:c>
      <x:c r="F21" s="512" t="s">
        <x:v>501</x:v>
      </x:c>
      <x:c r="G21" s="522">
        <x:f>$P$16*G19</x:f>
        <x:v>3630</x:v>
      </x:c>
      <x:c r="H21" s="618">
        <x:f t="shared" ref="H21:Q21" si="6">$P$16*H19</x:f>
        <x:v>3630</x:v>
      </x:c>
      <x:c r="I21" s="618">
        <x:f t="shared" si="6"/>
        <x:v>3630</x:v>
      </x:c>
      <x:c r="J21" s="618">
        <x:f t="shared" si="6"/>
        <x:v>3630</x:v>
      </x:c>
      <x:c r="K21" s="618">
        <x:f t="shared" si="6"/>
        <x:v>3630</x:v>
      </x:c>
      <x:c r="L21" s="618">
        <x:f t="shared" si="6"/>
        <x:v>3630</x:v>
      </x:c>
      <x:c r="M21" s="618">
        <x:f t="shared" si="6"/>
        <x:v>3630</x:v>
      </x:c>
      <x:c r="N21" s="618">
        <x:f t="shared" si="6"/>
        <x:v>3630</x:v>
      </x:c>
      <x:c r="O21" s="618">
        <x:f t="shared" si="6"/>
        <x:v>3630</x:v>
      </x:c>
      <x:c r="P21" s="618">
        <x:f t="shared" si="6"/>
        <x:v>3630</x:v>
      </x:c>
      <x:c r="Q21" s="618">
        <x:f t="shared" si="6"/>
        <x:v>3630</x:v>
      </x:c>
      <x:c r="R21" s="618">
        <x:f>$P$16*R19</x:f>
        <x:v>3795</x:v>
      </x:c>
      <x:c r="S21" s="558">
        <x:f t="shared" ref="S21:S45" si="7">SUM(G21:R21)</x:f>
        <x:v>43725</x:v>
      </x:c>
    </x:row>
    <x:row r="22" spans="2:19" customFormat="1" ht="22.9" customHeight="1">
      <x:c r="B22" s="1354"/>
      <x:c r="C22" s="549" t="s">
        <x:v>243</x:v>
      </x:c>
      <x:c r="D22" s="549" t="s">
        <x:v>244</x:v>
      </x:c>
      <x:c r="E22" s="751" t="s">
        <x:v>496</x:v>
      </x:c>
      <x:c r="F22" s="512" t="s">
        <x:v>474</x:v>
      </x:c>
      <x:c r="G22" s="522">
        <x:v>4061</x:v>
      </x:c>
      <x:c r="H22" s="618">
        <x:v>4061</x:v>
      </x:c>
      <x:c r="I22" s="618">
        <x:v>4061</x:v>
      </x:c>
      <x:c r="J22" s="618">
        <x:v>4061</x:v>
      </x:c>
      <x:c r="K22" s="618">
        <x:v>4061</x:v>
      </x:c>
      <x:c r="L22" s="618">
        <x:v>4061</x:v>
      </x:c>
      <x:c r="M22" s="618">
        <x:v>4061</x:v>
      </x:c>
      <x:c r="N22" s="618">
        <x:v>4061</x:v>
      </x:c>
      <x:c r="O22" s="618">
        <x:v>4061</x:v>
      </x:c>
      <x:c r="P22" s="618">
        <x:v>4061</x:v>
      </x:c>
      <x:c r="Q22" s="618">
        <x:v>4061</x:v>
      </x:c>
      <x:c r="R22" s="618">
        <x:v>4061</x:v>
      </x:c>
      <x:c r="S22" s="558">
        <x:f t="shared" si="7"/>
        <x:v>48732</x:v>
      </x:c>
    </x:row>
    <x:row r="23" spans="2:19" customFormat="1" ht="22.9" customHeight="1">
      <x:c r="B23" s="1354"/>
      <x:c r="C23" s="549" t="s">
        <x:v>480</x:v>
      </x:c>
      <x:c r="D23" s="549" t="s">
        <x:v>248</x:v>
      </x:c>
      <x:c r="E23" s="751" t="s">
        <x:v>496</x:v>
      </x:c>
      <x:c r="F23" s="512" t="s">
        <x:v>501</x:v>
      </x:c>
      <x:c r="G23" s="522">
        <x:v>3630</x:v>
      </x:c>
      <x:c r="H23" s="618">
        <x:v>3630</x:v>
      </x:c>
      <x:c r="I23" s="618">
        <x:v>3630</x:v>
      </x:c>
      <x:c r="J23" s="618">
        <x:v>3630</x:v>
      </x:c>
      <x:c r="K23" s="618">
        <x:v>3630</x:v>
      </x:c>
      <x:c r="L23" s="618">
        <x:v>3630</x:v>
      </x:c>
      <x:c r="M23" s="618">
        <x:v>3630</x:v>
      </x:c>
      <x:c r="N23" s="618">
        <x:v>3630</x:v>
      </x:c>
      <x:c r="O23" s="618">
        <x:v>3630</x:v>
      </x:c>
      <x:c r="P23" s="618">
        <x:v>3630</x:v>
      </x:c>
      <x:c r="Q23" s="618">
        <x:v>3630</x:v>
      </x:c>
      <x:c r="R23" s="618">
        <x:v>3795</x:v>
      </x:c>
      <x:c r="S23" s="558">
        <x:f t="shared" si="7"/>
        <x:v>43725</x:v>
      </x:c>
    </x:row>
    <x:row r="24" spans="2:19" customFormat="1" ht="22.9" customHeight="1">
      <x:c r="B24" s="1354" t="s">
        <x:v>481</x:v>
      </x:c>
      <x:c r="C24" s="549" t="s">
        <x:v>482</x:v>
      </x:c>
      <x:c r="D24" s="549" t="s">
        <x:v>473</x:v>
      </x:c>
      <x:c r="E24" s="751" t="s">
        <x:v>496</x:v>
      </x:c>
      <x:c r="F24" s="512" t="s">
        <x:v>501</x:v>
      </x:c>
      <x:c r="G24" s="522">
        <x:v>3630</x:v>
      </x:c>
      <x:c r="H24" s="618">
        <x:v>3630</x:v>
      </x:c>
      <x:c r="I24" s="618">
        <x:v>3630</x:v>
      </x:c>
      <x:c r="J24" s="618">
        <x:v>3630</x:v>
      </x:c>
      <x:c r="K24" s="618">
        <x:v>3630</x:v>
      </x:c>
      <x:c r="L24" s="618">
        <x:v>3630</x:v>
      </x:c>
      <x:c r="M24" s="618">
        <x:v>3630</x:v>
      </x:c>
      <x:c r="N24" s="618">
        <x:v>3630</x:v>
      </x:c>
      <x:c r="O24" s="618">
        <x:v>3630</x:v>
      </x:c>
      <x:c r="P24" s="618">
        <x:v>3630</x:v>
      </x:c>
      <x:c r="Q24" s="618">
        <x:v>3630</x:v>
      </x:c>
      <x:c r="R24" s="618">
        <x:v>3795</x:v>
      </x:c>
      <x:c r="S24" s="558">
        <x:f t="shared" si="7"/>
        <x:v>43725</x:v>
      </x:c>
    </x:row>
    <x:row r="25" spans="2:19" customFormat="1" ht="22.9" customHeight="1">
      <x:c r="B25" s="1354"/>
      <x:c r="C25" s="549" t="s">
        <x:v>1263</x:v>
      </x:c>
      <x:c r="D25" s="549" t="s">
        <x:v>250</x:v>
      </x:c>
      <x:c r="E25" s="751" t="s">
        <x:v>496</x:v>
      </x:c>
      <x:c r="F25" s="512" t="s">
        <x:v>474</x:v>
      </x:c>
      <x:c r="G25" s="522">
        <x:v>4219</x:v>
      </x:c>
      <x:c r="H25" s="618">
        <x:v>4219</x:v>
      </x:c>
      <x:c r="I25" s="618">
        <x:v>4219</x:v>
      </x:c>
      <x:c r="J25" s="618">
        <x:v>4219</x:v>
      </x:c>
      <x:c r="K25" s="618">
        <x:v>4219</x:v>
      </x:c>
      <x:c r="L25" s="618">
        <x:v>4219</x:v>
      </x:c>
      <x:c r="M25" s="618">
        <x:v>4219</x:v>
      </x:c>
      <x:c r="N25" s="618">
        <x:v>4219</x:v>
      </x:c>
      <x:c r="O25" s="618">
        <x:v>4219</x:v>
      </x:c>
      <x:c r="P25" s="618">
        <x:v>4219</x:v>
      </x:c>
      <x:c r="Q25" s="618">
        <x:v>4219</x:v>
      </x:c>
      <x:c r="R25" s="618">
        <x:v>4219</x:v>
      </x:c>
      <x:c r="S25" s="558">
        <x:f t="shared" si="7"/>
        <x:v>50628</x:v>
      </x:c>
    </x:row>
    <x:row r="26" spans="2:19" customFormat="1" ht="22.9" customHeight="1">
      <x:c r="B26" s="1354"/>
      <x:c r="C26" s="549" t="s">
        <x:v>483</x:v>
      </x:c>
      <x:c r="D26" s="549" t="s">
        <x:v>484</x:v>
      </x:c>
      <x:c r="E26" s="751" t="s">
        <x:v>496</x:v>
      </x:c>
      <x:c r="F26" s="512" t="s">
        <x:v>501</x:v>
      </x:c>
      <x:c r="G26" s="522">
        <x:v>3630</x:v>
      </x:c>
      <x:c r="H26" s="618">
        <x:v>3630</x:v>
      </x:c>
      <x:c r="I26" s="618">
        <x:v>3630</x:v>
      </x:c>
      <x:c r="J26" s="618">
        <x:v>3630</x:v>
      </x:c>
      <x:c r="K26" s="618">
        <x:v>3630</x:v>
      </x:c>
      <x:c r="L26" s="618">
        <x:v>3630</x:v>
      </x:c>
      <x:c r="M26" s="618">
        <x:v>3630</x:v>
      </x:c>
      <x:c r="N26" s="618">
        <x:v>3630</x:v>
      </x:c>
      <x:c r="O26" s="618">
        <x:v>3630</x:v>
      </x:c>
      <x:c r="P26" s="618">
        <x:v>3630</x:v>
      </x:c>
      <x:c r="Q26" s="618">
        <x:v>3630</x:v>
      </x:c>
      <x:c r="R26" s="618">
        <x:v>3795</x:v>
      </x:c>
      <x:c r="S26" s="558">
        <x:f t="shared" si="7"/>
        <x:v>43725</x:v>
      </x:c>
    </x:row>
    <x:row r="27" spans="2:19" customFormat="1" ht="22.9" customHeight="1">
      <x:c r="B27" s="1355" t="s">
        <x:v>249</x:v>
      </x:c>
      <x:c r="C27" s="549" t="s">
        <x:v>444</x:v>
      </x:c>
      <x:c r="D27" s="549" t="s">
        <x:v>250</x:v>
      </x:c>
      <x:c r="E27" s="751" t="s">
        <x:v>496</x:v>
      </x:c>
      <x:c r="F27" s="512" t="s">
        <x:v>474</x:v>
      </x:c>
      <x:c r="G27" s="522">
        <x:v>5816.6428571428569</x:v>
      </x:c>
      <x:c r="H27" s="618">
        <x:v>5816.6428571428569</x:v>
      </x:c>
      <x:c r="I27" s="618">
        <x:v>5816.6428571428569</x:v>
      </x:c>
      <x:c r="J27" s="618">
        <x:v>5816.6428571428569</x:v>
      </x:c>
      <x:c r="K27" s="618">
        <x:v>5816.6428571428569</x:v>
      </x:c>
      <x:c r="L27" s="618">
        <x:v>5816.6428571428569</x:v>
      </x:c>
      <x:c r="M27" s="618">
        <x:v>5816.6428571428569</x:v>
      </x:c>
      <x:c r="N27" s="618">
        <x:v>5816.6428571428569</x:v>
      </x:c>
      <x:c r="O27" s="618">
        <x:v>5816.6428571428569</x:v>
      </x:c>
      <x:c r="P27" s="618">
        <x:v>5816.6428571428569</x:v>
      </x:c>
      <x:c r="Q27" s="618">
        <x:v>5816.6428571428569</x:v>
      </x:c>
      <x:c r="R27" s="618">
        <x:v>5816.6428571428569</x:v>
      </x:c>
      <x:c r="S27" s="558">
        <x:f t="shared" si="7"/>
        <x:v>69799.714285714275</x:v>
      </x:c>
    </x:row>
    <x:row r="28" spans="2:19" customFormat="1" ht="22.9" customHeight="1">
      <x:c r="B28" s="1355"/>
      <x:c r="C28" s="549" t="s">
        <x:v>485</x:v>
      </x:c>
      <x:c r="D28" s="549" t="s">
        <x:v>244</x:v>
      </x:c>
      <x:c r="E28" s="751" t="s">
        <x:v>496</x:v>
      </x:c>
      <x:c r="F28" s="512" t="s">
        <x:v>501</x:v>
      </x:c>
      <x:c r="G28" s="522">
        <x:v>3630</x:v>
      </x:c>
      <x:c r="H28" s="618">
        <x:v>3630</x:v>
      </x:c>
      <x:c r="I28" s="618">
        <x:v>3630</x:v>
      </x:c>
      <x:c r="J28" s="618">
        <x:v>3630</x:v>
      </x:c>
      <x:c r="K28" s="618">
        <x:v>3630</x:v>
      </x:c>
      <x:c r="L28" s="618">
        <x:v>3630</x:v>
      </x:c>
      <x:c r="M28" s="618">
        <x:v>3630</x:v>
      </x:c>
      <x:c r="N28" s="618">
        <x:v>3630</x:v>
      </x:c>
      <x:c r="O28" s="618">
        <x:v>3630</x:v>
      </x:c>
      <x:c r="P28" s="618">
        <x:v>3630</x:v>
      </x:c>
      <x:c r="Q28" s="618">
        <x:v>3630</x:v>
      </x:c>
      <x:c r="R28" s="618">
        <x:v>3795</x:v>
      </x:c>
      <x:c r="S28" s="558">
        <x:f t="shared" si="7"/>
        <x:v>43725</x:v>
      </x:c>
    </x:row>
    <x:row r="29" spans="2:19" customFormat="1" ht="22.9" customHeight="1">
      <x:c r="B29" s="1354" t="s">
        <x:v>251</x:v>
      </x:c>
      <x:c r="C29" s="549" t="s">
        <x:v>486</x:v>
      </x:c>
      <x:c r="D29" s="549" t="s">
        <x:v>471</x:v>
      </x:c>
      <x:c r="E29" s="751" t="s">
        <x:v>498</x:v>
      </x:c>
      <x:c r="F29" s="512" t="s">
        <x:v>472</x:v>
      </x:c>
      <x:c r="G29" s="522">
        <x:v>3630</x:v>
      </x:c>
      <x:c r="H29" s="618">
        <x:v>3630</x:v>
      </x:c>
      <x:c r="I29" s="618">
        <x:v>3630</x:v>
      </x:c>
      <x:c r="J29" s="618">
        <x:v>3630</x:v>
      </x:c>
      <x:c r="K29" s="618">
        <x:v>3630</x:v>
      </x:c>
      <x:c r="L29" s="618">
        <x:v>3630</x:v>
      </x:c>
      <x:c r="M29" s="618">
        <x:v>3630</x:v>
      </x:c>
      <x:c r="N29" s="618">
        <x:v>3630</x:v>
      </x:c>
      <x:c r="O29" s="618">
        <x:v>3630</x:v>
      </x:c>
      <x:c r="P29" s="618">
        <x:v>3630</x:v>
      </x:c>
      <x:c r="Q29" s="618">
        <x:v>3630</x:v>
      </x:c>
      <x:c r="R29" s="618">
        <x:v>3795</x:v>
      </x:c>
      <x:c r="S29" s="558">
        <x:f t="shared" si="7"/>
        <x:v>43725</x:v>
      </x:c>
    </x:row>
    <x:row r="30" spans="2:19" customFormat="1" ht="22.9" customHeight="1">
      <x:c r="B30" s="1354"/>
      <x:c r="C30" s="549" t="s">
        <x:v>253</x:v>
      </x:c>
      <x:c r="D30" s="549" t="s">
        <x:v>473</x:v>
      </x:c>
      <x:c r="E30" s="751" t="s">
        <x:v>498</x:v>
      </x:c>
      <x:c r="F30" s="512" t="s">
        <x:v>504</x:v>
      </x:c>
      <x:c r="G30" s="522" t="s">
        <x:v>475</x:v>
      </x:c>
      <x:c r="H30" s="618" t="s">
        <x:v>475</x:v>
      </x:c>
      <x:c r="I30" s="618" t="s">
        <x:v>475</x:v>
      </x:c>
      <x:c r="J30" s="618" t="s">
        <x:v>475</x:v>
      </x:c>
      <x:c r="K30" s="618" t="s">
        <x:v>475</x:v>
      </x:c>
      <x:c r="L30" s="618" t="s">
        <x:v>475</x:v>
      </x:c>
      <x:c r="M30" s="618" t="s">
        <x:v>475</x:v>
      </x:c>
      <x:c r="N30" s="618" t="s">
        <x:v>475</x:v>
      </x:c>
      <x:c r="O30" s="618" t="s">
        <x:v>475</x:v>
      </x:c>
      <x:c r="P30" s="618" t="s">
        <x:v>475</x:v>
      </x:c>
      <x:c r="Q30" s="618" t="s">
        <x:v>475</x:v>
      </x:c>
      <x:c r="R30" s="618" t="s">
        <x:v>475</x:v>
      </x:c>
      <x:c r="S30" s="558" t="s">
        <x:v>475</x:v>
      </x:c>
    </x:row>
    <x:row r="31" spans="2:19" customFormat="1" ht="22.9" customHeight="1">
      <x:c r="B31" s="1354"/>
      <x:c r="C31" s="549" t="s">
        <x:v>1264</x:v>
      </x:c>
      <x:c r="D31" s="549" t="s">
        <x:v>484</x:v>
      </x:c>
      <x:c r="E31" s="751" t="s">
        <x:v>498</x:v>
      </x:c>
      <x:c r="F31" s="512" t="s">
        <x:v>501</x:v>
      </x:c>
      <x:c r="G31" s="522">
        <x:v>3630</x:v>
      </x:c>
      <x:c r="H31" s="618">
        <x:v>3630</x:v>
      </x:c>
      <x:c r="I31" s="618">
        <x:v>3630</x:v>
      </x:c>
      <x:c r="J31" s="618">
        <x:v>3630</x:v>
      </x:c>
      <x:c r="K31" s="618">
        <x:v>3630</x:v>
      </x:c>
      <x:c r="L31" s="618">
        <x:v>3630</x:v>
      </x:c>
      <x:c r="M31" s="618">
        <x:v>3630</x:v>
      </x:c>
      <x:c r="N31" s="618">
        <x:v>3630</x:v>
      </x:c>
      <x:c r="O31" s="618">
        <x:v>3630</x:v>
      </x:c>
      <x:c r="P31" s="618">
        <x:v>3630</x:v>
      </x:c>
      <x:c r="Q31" s="618">
        <x:v>3630</x:v>
      </x:c>
      <x:c r="R31" s="618">
        <x:v>3795</x:v>
      </x:c>
      <x:c r="S31" s="558">
        <x:f t="shared" si="7"/>
        <x:v>43725</x:v>
      </x:c>
    </x:row>
    <x:row r="32" spans="2:19" customFormat="1" ht="22.9" customHeight="1">
      <x:c r="B32" s="1354"/>
      <x:c r="C32" s="549" t="s">
        <x:v>254</x:v>
      </x:c>
      <x:c r="D32" s="549" t="s">
        <x:v>244</x:v>
      </x:c>
      <x:c r="E32" s="751" t="s">
        <x:v>498</x:v>
      </x:c>
      <x:c r="F32" s="512" t="s">
        <x:v>474</x:v>
      </x:c>
      <x:c r="G32" s="522">
        <x:v>6340</x:v>
      </x:c>
      <x:c r="H32" s="618">
        <x:v>6340</x:v>
      </x:c>
      <x:c r="I32" s="618">
        <x:v>6340</x:v>
      </x:c>
      <x:c r="J32" s="618">
        <x:v>6340</x:v>
      </x:c>
      <x:c r="K32" s="618">
        <x:v>6340</x:v>
      </x:c>
      <x:c r="L32" s="618">
        <x:v>6340</x:v>
      </x:c>
      <x:c r="M32" s="618">
        <x:v>6340</x:v>
      </x:c>
      <x:c r="N32" s="618">
        <x:v>6340</x:v>
      </x:c>
      <x:c r="O32" s="618">
        <x:v>6340</x:v>
      </x:c>
      <x:c r="P32" s="618">
        <x:v>6340</x:v>
      </x:c>
      <x:c r="Q32" s="618">
        <x:v>6340</x:v>
      </x:c>
      <x:c r="R32" s="618">
        <x:v>6340</x:v>
      </x:c>
      <x:c r="S32" s="558">
        <x:f t="shared" si="7"/>
        <x:v>76080</x:v>
      </x:c>
    </x:row>
    <x:row r="33" spans="2:19" customFormat="1" ht="22.9" customHeight="1">
      <x:c r="B33" s="1354" t="s">
        <x:v>255</x:v>
      </x:c>
      <x:c r="C33" s="549" t="s">
        <x:v>256</x:v>
      </x:c>
      <x:c r="D33" s="549" t="s">
        <x:v>257</x:v>
      </x:c>
      <x:c r="E33" s="751" t="s">
        <x:v>498</x:v>
      </x:c>
      <x:c r="F33" s="512" t="s">
        <x:v>474</x:v>
      </x:c>
      <x:c r="G33" s="522">
        <x:v>5301</x:v>
      </x:c>
      <x:c r="H33" s="618">
        <x:v>5301</x:v>
      </x:c>
      <x:c r="I33" s="618">
        <x:v>5301</x:v>
      </x:c>
      <x:c r="J33" s="618">
        <x:v>5301</x:v>
      </x:c>
      <x:c r="K33" s="618">
        <x:v>5301</x:v>
      </x:c>
      <x:c r="L33" s="618">
        <x:v>5301</x:v>
      </x:c>
      <x:c r="M33" s="618">
        <x:v>5301</x:v>
      </x:c>
      <x:c r="N33" s="618">
        <x:v>5301</x:v>
      </x:c>
      <x:c r="O33" s="618">
        <x:v>5301</x:v>
      </x:c>
      <x:c r="P33" s="618">
        <x:v>5301</x:v>
      </x:c>
      <x:c r="Q33" s="618">
        <x:v>5301</x:v>
      </x:c>
      <x:c r="R33" s="618">
        <x:v>5301</x:v>
      </x:c>
      <x:c r="S33" s="558">
        <x:f t="shared" si="7"/>
        <x:v>63612</x:v>
      </x:c>
    </x:row>
    <x:row r="34" spans="2:19" customFormat="1" ht="22.9" customHeight="1">
      <x:c r="B34" s="1354"/>
      <x:c r="C34" s="549" t="s">
        <x:v>487</x:v>
      </x:c>
      <x:c r="D34" s="549" t="s">
        <x:v>257</x:v>
      </x:c>
      <x:c r="E34" s="751" t="s">
        <x:v>498</x:v>
      </x:c>
      <x:c r="F34" s="512" t="s">
        <x:v>501</x:v>
      </x:c>
      <x:c r="G34" s="522">
        <x:v>3630</x:v>
      </x:c>
      <x:c r="H34" s="618">
        <x:v>3630</x:v>
      </x:c>
      <x:c r="I34" s="618">
        <x:v>3630</x:v>
      </x:c>
      <x:c r="J34" s="618">
        <x:v>3630</x:v>
      </x:c>
      <x:c r="K34" s="618">
        <x:v>3630</x:v>
      </x:c>
      <x:c r="L34" s="618">
        <x:v>3630</x:v>
      </x:c>
      <x:c r="M34" s="618">
        <x:v>3630</x:v>
      </x:c>
      <x:c r="N34" s="618">
        <x:v>3630</x:v>
      </x:c>
      <x:c r="O34" s="618">
        <x:v>3630</x:v>
      </x:c>
      <x:c r="P34" s="618">
        <x:v>3630</x:v>
      </x:c>
      <x:c r="Q34" s="618">
        <x:v>3630</x:v>
      </x:c>
      <x:c r="R34" s="618">
        <x:v>3795</x:v>
      </x:c>
      <x:c r="S34" s="558">
        <x:f t="shared" si="7"/>
        <x:v>43725</x:v>
      </x:c>
    </x:row>
    <x:row r="35" spans="2:19" customFormat="1" ht="22.9" customHeight="1">
      <x:c r="B35" s="1354" t="s">
        <x:v>258</x:v>
      </x:c>
      <x:c r="C35" s="549" t="s">
        <x:v>488</x:v>
      </x:c>
      <x:c r="D35" s="549" t="s">
        <x:v>471</x:v>
      </x:c>
      <x:c r="E35" s="751" t="s">
        <x:v>498</x:v>
      </x:c>
      <x:c r="F35" s="512" t="s">
        <x:v>501</x:v>
      </x:c>
      <x:c r="G35" s="522">
        <x:v>3630</x:v>
      </x:c>
      <x:c r="H35" s="618">
        <x:v>3630</x:v>
      </x:c>
      <x:c r="I35" s="618">
        <x:v>3630</x:v>
      </x:c>
      <x:c r="J35" s="618">
        <x:v>3630</x:v>
      </x:c>
      <x:c r="K35" s="618">
        <x:v>3630</x:v>
      </x:c>
      <x:c r="L35" s="618">
        <x:v>3630</x:v>
      </x:c>
      <x:c r="M35" s="618">
        <x:v>3630</x:v>
      </x:c>
      <x:c r="N35" s="618">
        <x:v>3630</x:v>
      </x:c>
      <x:c r="O35" s="618">
        <x:v>3630</x:v>
      </x:c>
      <x:c r="P35" s="618">
        <x:v>3630</x:v>
      </x:c>
      <x:c r="Q35" s="618">
        <x:v>3630</x:v>
      </x:c>
      <x:c r="R35" s="618">
        <x:v>3795</x:v>
      </x:c>
      <x:c r="S35" s="558">
        <x:f t="shared" si="7"/>
        <x:v>43725</x:v>
      </x:c>
    </x:row>
    <x:row r="36" spans="2:19" customFormat="1" ht="22.9" customHeight="1">
      <x:c r="B36" s="1354"/>
      <x:c r="C36" s="549" t="s">
        <x:v>489</x:v>
      </x:c>
      <x:c r="D36" s="549" t="s">
        <x:v>244</x:v>
      </x:c>
      <x:c r="E36" s="751" t="s">
        <x:v>498</x:v>
      </x:c>
      <x:c r="F36" s="512" t="s">
        <x:v>501</x:v>
      </x:c>
      <x:c r="G36" s="522">
        <x:v>3630</x:v>
      </x:c>
      <x:c r="H36" s="618">
        <x:v>3630</x:v>
      </x:c>
      <x:c r="I36" s="618">
        <x:v>3630</x:v>
      </x:c>
      <x:c r="J36" s="618">
        <x:v>3630</x:v>
      </x:c>
      <x:c r="K36" s="618">
        <x:v>3630</x:v>
      </x:c>
      <x:c r="L36" s="618">
        <x:v>3630</x:v>
      </x:c>
      <x:c r="M36" s="618">
        <x:v>3630</x:v>
      </x:c>
      <x:c r="N36" s="618">
        <x:v>3630</x:v>
      </x:c>
      <x:c r="O36" s="618">
        <x:v>3630</x:v>
      </x:c>
      <x:c r="P36" s="618">
        <x:v>3630</x:v>
      </x:c>
      <x:c r="Q36" s="618">
        <x:v>3630</x:v>
      </x:c>
      <x:c r="R36" s="618">
        <x:v>3795</x:v>
      </x:c>
      <x:c r="S36" s="558">
        <x:f t="shared" si="7"/>
        <x:v>43725</x:v>
      </x:c>
    </x:row>
    <x:row r="37" spans="2:19" customFormat="1" ht="22.9" customHeight="1">
      <x:c r="B37" s="1354"/>
      <x:c r="C37" s="647" t="s">
        <x:v>446</x:v>
      </x:c>
      <x:c r="D37" s="549" t="s">
        <x:v>248</x:v>
      </x:c>
      <x:c r="E37" s="751" t="s">
        <x:v>498</x:v>
      </x:c>
      <x:c r="F37" s="512" t="s">
        <x:v>502</x:v>
      </x:c>
      <x:c r="G37" s="522" t="s">
        <x:v>475</x:v>
      </x:c>
      <x:c r="H37" s="618" t="s">
        <x:v>475</x:v>
      </x:c>
      <x:c r="I37" s="618" t="s">
        <x:v>475</x:v>
      </x:c>
      <x:c r="J37" s="618" t="s">
        <x:v>475</x:v>
      </x:c>
      <x:c r="K37" s="618" t="s">
        <x:v>475</x:v>
      </x:c>
      <x:c r="L37" s="618" t="s">
        <x:v>475</x:v>
      </x:c>
      <x:c r="M37" s="618" t="s">
        <x:v>475</x:v>
      </x:c>
      <x:c r="N37" s="618" t="s">
        <x:v>475</x:v>
      </x:c>
      <x:c r="O37" s="618" t="s">
        <x:v>475</x:v>
      </x:c>
      <x:c r="P37" s="618" t="s">
        <x:v>475</x:v>
      </x:c>
      <x:c r="Q37" s="618" t="s">
        <x:v>475</x:v>
      </x:c>
      <x:c r="R37" s="618" t="s">
        <x:v>475</x:v>
      </x:c>
      <x:c r="S37" s="558" t="s">
        <x:v>475</x:v>
      </x:c>
    </x:row>
    <x:row r="38" spans="2:19" customFormat="1" ht="22.9" customHeight="1">
      <x:c r="B38" s="1354"/>
      <x:c r="C38" s="647" t="s">
        <x:v>447</x:v>
      </x:c>
      <x:c r="D38" s="549" t="s">
        <x:v>248</x:v>
      </x:c>
      <x:c r="E38" s="751" t="s">
        <x:v>498</x:v>
      </x:c>
      <x:c r="F38" s="512" t="s">
        <x:v>503</x:v>
      </x:c>
      <x:c r="G38" s="522" t="s">
        <x:v>475</x:v>
      </x:c>
      <x:c r="H38" s="618" t="s">
        <x:v>475</x:v>
      </x:c>
      <x:c r="I38" s="618" t="s">
        <x:v>475</x:v>
      </x:c>
      <x:c r="J38" s="618" t="s">
        <x:v>475</x:v>
      </x:c>
      <x:c r="K38" s="618" t="s">
        <x:v>475</x:v>
      </x:c>
      <x:c r="L38" s="618" t="s">
        <x:v>475</x:v>
      </x:c>
      <x:c r="M38" s="618" t="s">
        <x:v>475</x:v>
      </x:c>
      <x:c r="N38" s="618" t="s">
        <x:v>475</x:v>
      </x:c>
      <x:c r="O38" s="618" t="s">
        <x:v>475</x:v>
      </x:c>
      <x:c r="P38" s="618" t="s">
        <x:v>475</x:v>
      </x:c>
      <x:c r="Q38" s="618" t="s">
        <x:v>475</x:v>
      </x:c>
      <x:c r="R38" s="618" t="s">
        <x:v>475</x:v>
      </x:c>
      <x:c r="S38" s="558" t="s">
        <x:v>475</x:v>
      </x:c>
    </x:row>
    <x:row r="39" spans="2:19" customFormat="1" ht="22.9" customHeight="1">
      <x:c r="B39" s="1354"/>
      <x:c r="C39" s="451" t="s">
        <x:v>450</x:v>
      </x:c>
      <x:c r="D39" s="549" t="s">
        <x:v>248</x:v>
      </x:c>
      <x:c r="E39" s="751" t="s">
        <x:v>498</x:v>
      </x:c>
      <x:c r="F39" s="512" t="s">
        <x:v>501</x:v>
      </x:c>
      <x:c r="G39" s="522">
        <x:v>3630</x:v>
      </x:c>
      <x:c r="H39" s="618">
        <x:v>3630</x:v>
      </x:c>
      <x:c r="I39" s="618">
        <x:v>3630</x:v>
      </x:c>
      <x:c r="J39" s="618">
        <x:v>3630</x:v>
      </x:c>
      <x:c r="K39" s="618">
        <x:v>3630</x:v>
      </x:c>
      <x:c r="L39" s="618">
        <x:v>3630</x:v>
      </x:c>
      <x:c r="M39" s="618">
        <x:v>3630</x:v>
      </x:c>
      <x:c r="N39" s="618">
        <x:v>3630</x:v>
      </x:c>
      <x:c r="O39" s="618">
        <x:v>3630</x:v>
      </x:c>
      <x:c r="P39" s="618">
        <x:v>3630</x:v>
      </x:c>
      <x:c r="Q39" s="618">
        <x:v>3630</x:v>
      </x:c>
      <x:c r="R39" s="618">
        <x:v>3795</x:v>
      </x:c>
      <x:c r="S39" s="558">
        <x:f t="shared" si="7"/>
        <x:v>43725</x:v>
      </x:c>
    </x:row>
    <x:row r="40" spans="2:19" customFormat="1" ht="22.9" customHeight="1">
      <x:c r="B40" s="730"/>
      <x:c r="C40" s="730"/>
      <x:c r="D40" s="730"/>
      <x:c r="E40" s="730"/>
      <x:c r="F40" s="730"/>
      <x:c r="G40" s="794"/>
      <x:c r="H40" s="619"/>
      <x:c r="I40" s="619"/>
      <x:c r="J40" s="619"/>
      <x:c r="K40" s="619"/>
      <x:c r="L40" s="619"/>
      <x:c r="M40" s="619"/>
      <x:c r="N40" s="619"/>
      <x:c r="O40" s="619"/>
      <x:c r="P40" s="619"/>
      <x:c r="Q40" s="619"/>
      <x:c r="R40" s="619"/>
      <x:c r="S40" s="619"/>
    </x:row>
    <x:row r="41" spans="2:19" customFormat="1" ht="22.9" customHeight="1">
      <x:c r="B41" s="400" t="s">
        <x:v>452</x:v>
      </x:c>
      <x:c r="C41" s="400" t="s">
        <x:v>260</x:v>
      </x:c>
      <x:c r="D41" s="400" t="s">
        <x:v>471</x:v>
      </x:c>
      <x:c r="E41" s="779" t="s">
        <x:v>628</x:v>
      </x:c>
      <x:c r="F41" s="667" t="s">
        <x:v>500</x:v>
      </x:c>
      <x:c r="G41" s="410" t="s">
        <x:v>475</x:v>
      </x:c>
      <x:c r="H41" s="410" t="s">
        <x:v>475</x:v>
      </x:c>
      <x:c r="I41" s="410" t="s">
        <x:v>475</x:v>
      </x:c>
      <x:c r="J41" s="410" t="s">
        <x:v>475</x:v>
      </x:c>
      <x:c r="K41" s="410" t="s">
        <x:v>475</x:v>
      </x:c>
      <x:c r="L41" s="410" t="s">
        <x:v>475</x:v>
      </x:c>
      <x:c r="M41" s="410">
        <x:v>3630</x:v>
      </x:c>
      <x:c r="N41" s="410">
        <x:v>3630</x:v>
      </x:c>
      <x:c r="O41" s="410">
        <x:v>3630</x:v>
      </x:c>
      <x:c r="P41" s="410">
        <x:v>3630</x:v>
      </x:c>
      <x:c r="Q41" s="410">
        <x:v>3630</x:v>
      </x:c>
      <x:c r="R41" s="410">
        <x:v>3795</x:v>
      </x:c>
      <x:c r="S41" s="741">
        <x:f t="shared" si="7"/>
        <x:v>21945</x:v>
      </x:c>
    </x:row>
    <x:row r="42" spans="2:19" customFormat="1" ht="22.9" customHeight="1">
      <x:c r="B42" s="400" t="s">
        <x:v>454</x:v>
      </x:c>
      <x:c r="C42" s="400" t="s">
        <x:v>191</x:v>
      </x:c>
      <x:c r="D42" s="400" t="s">
        <x:v>244</x:v>
      </x:c>
      <x:c r="E42" s="779" t="s">
        <x:v>496</x:v>
      </x:c>
      <x:c r="F42" s="667" t="s">
        <x:v>500</x:v>
      </x:c>
      <x:c r="G42" s="410" t="s">
        <x:v>475</x:v>
      </x:c>
      <x:c r="H42" s="410">
        <x:v>3630</x:v>
      </x:c>
      <x:c r="I42" s="410">
        <x:v>3630</x:v>
      </x:c>
      <x:c r="J42" s="410">
        <x:v>3630</x:v>
      </x:c>
      <x:c r="K42" s="410">
        <x:v>3630</x:v>
      </x:c>
      <x:c r="L42" s="410">
        <x:v>3630</x:v>
      </x:c>
      <x:c r="M42" s="410">
        <x:v>3630</x:v>
      </x:c>
      <x:c r="N42" s="410">
        <x:v>3630</x:v>
      </x:c>
      <x:c r="O42" s="410">
        <x:v>3630</x:v>
      </x:c>
      <x:c r="P42" s="410">
        <x:v>3630</x:v>
      </x:c>
      <x:c r="Q42" s="410">
        <x:v>3630</x:v>
      </x:c>
      <x:c r="R42" s="410">
        <x:v>3795</x:v>
      </x:c>
      <x:c r="S42" s="741">
        <x:f t="shared" si="7"/>
        <x:v>40095</x:v>
      </x:c>
    </x:row>
    <x:row r="43" spans="2:19" customFormat="1" ht="22.9" customHeight="1">
      <x:c r="B43" s="400" t="s">
        <x:v>1192</x:v>
      </x:c>
      <x:c r="C43" s="400" t="s">
        <x:v>191</x:v>
      </x:c>
      <x:c r="D43" s="400" t="s">
        <x:v>244</x:v>
      </x:c>
      <x:c r="E43" s="779" t="s">
        <x:v>496</x:v>
      </x:c>
      <x:c r="F43" s="667" t="s">
        <x:v>500</x:v>
      </x:c>
      <x:c r="G43" s="410">
        <x:v>3630</x:v>
      </x:c>
      <x:c r="H43" s="410">
        <x:v>3630</x:v>
      </x:c>
      <x:c r="I43" s="410">
        <x:v>3630</x:v>
      </x:c>
      <x:c r="J43" s="410">
        <x:v>3630</x:v>
      </x:c>
      <x:c r="K43" s="410">
        <x:v>3630</x:v>
      </x:c>
      <x:c r="L43" s="410">
        <x:v>3630</x:v>
      </x:c>
      <x:c r="M43" s="410">
        <x:v>3630</x:v>
      </x:c>
      <x:c r="N43" s="410">
        <x:v>3630</x:v>
      </x:c>
      <x:c r="O43" s="410">
        <x:v>3630</x:v>
      </x:c>
      <x:c r="P43" s="410">
        <x:v>3630</x:v>
      </x:c>
      <x:c r="Q43" s="410">
        <x:v>3630</x:v>
      </x:c>
      <x:c r="R43" s="410">
        <x:v>3795</x:v>
      </x:c>
      <x:c r="S43" s="741">
        <x:f t="shared" si="7"/>
        <x:v>43725</x:v>
      </x:c>
    </x:row>
    <x:row r="44" spans="2:19" customFormat="1" ht="22.9" customHeight="1">
      <x:c r="B44" s="400" t="s">
        <x:v>251</x:v>
      </x:c>
      <x:c r="C44" s="400" t="s">
        <x:v>191</x:v>
      </x:c>
      <x:c r="D44" s="400" t="s">
        <x:v>244</x:v>
      </x:c>
      <x:c r="E44" s="779" t="s">
        <x:v>498</x:v>
      </x:c>
      <x:c r="F44" s="667" t="s">
        <x:v>500</x:v>
      </x:c>
      <x:c r="G44" s="410" t="s">
        <x:v>475</x:v>
      </x:c>
      <x:c r="H44" s="410" t="s">
        <x:v>475</x:v>
      </x:c>
      <x:c r="I44" s="410" t="s">
        <x:v>475</x:v>
      </x:c>
      <x:c r="J44" s="410" t="s">
        <x:v>475</x:v>
      </x:c>
      <x:c r="K44" s="410" t="s">
        <x:v>475</x:v>
      </x:c>
      <x:c r="L44" s="410" t="s">
        <x:v>475</x:v>
      </x:c>
      <x:c r="M44" s="410" t="s">
        <x:v>475</x:v>
      </x:c>
      <x:c r="N44" s="410">
        <x:v>3630</x:v>
      </x:c>
      <x:c r="O44" s="410">
        <x:v>3630</x:v>
      </x:c>
      <x:c r="P44" s="410">
        <x:v>3630</x:v>
      </x:c>
      <x:c r="Q44" s="410">
        <x:v>3630</x:v>
      </x:c>
      <x:c r="R44" s="410">
        <x:v>3795</x:v>
      </x:c>
      <x:c r="S44" s="741">
        <x:f t="shared" si="7"/>
        <x:v>18315</x:v>
      </x:c>
    </x:row>
    <x:row r="45" spans="2:19" customFormat="1" ht="22.9" customHeight="1">
      <x:c r="B45" s="400" t="s">
        <x:v>251</x:v>
      </x:c>
      <x:c r="C45" s="400" t="s">
        <x:v>191</x:v>
      </x:c>
      <x:c r="D45" s="400" t="s">
        <x:v>244</x:v>
      </x:c>
      <x:c r="E45" s="779" t="s">
        <x:v>498</x:v>
      </x:c>
      <x:c r="F45" s="667" t="s">
        <x:v>500</x:v>
      </x:c>
      <x:c r="G45" s="410" t="s">
        <x:v>475</x:v>
      </x:c>
      <x:c r="H45" s="410" t="s">
        <x:v>475</x:v>
      </x:c>
      <x:c r="I45" s="410" t="s">
        <x:v>475</x:v>
      </x:c>
      <x:c r="J45" s="410" t="s">
        <x:v>475</x:v>
      </x:c>
      <x:c r="K45" s="410" t="s">
        <x:v>475</x:v>
      </x:c>
      <x:c r="L45" s="410" t="s">
        <x:v>475</x:v>
      </x:c>
      <x:c r="M45" s="410" t="s">
        <x:v>475</x:v>
      </x:c>
      <x:c r="N45" s="410">
        <x:v>3630</x:v>
      </x:c>
      <x:c r="O45" s="410">
        <x:v>3630</x:v>
      </x:c>
      <x:c r="P45" s="410">
        <x:v>3630</x:v>
      </x:c>
      <x:c r="Q45" s="410">
        <x:v>3630</x:v>
      </x:c>
      <x:c r="R45" s="410">
        <x:v>3795</x:v>
      </x:c>
      <x:c r="S45" s="741">
        <x:f t="shared" si="7"/>
        <x:v>18315</x:v>
      </x:c>
    </x:row>
    <x:row r="46" spans="2:19" ht="22.9" customHeight="1">
      <x:c r="B46" s="1353" t="s">
        <x:v>495</x:v>
      </x:c>
      <x:c r="C46" s="1353"/>
      <x:c r="D46" s="1353"/>
      <x:c r="E46" s="1353"/>
      <x:c r="F46" s="1353"/>
      <x:c r="G46" s="410">
        <x:f>SUM(G21:G28,G42:G43)</x:f>
        <x:v>35876.642857142855</x:v>
      </x:c>
      <x:c r="H46" s="410">
        <x:f t="shared" ref="H46:R46" si="8">SUM(H21:H28,H42:H43)</x:f>
        <x:v>39506.642857142855</x:v>
      </x:c>
      <x:c r="I46" s="410">
        <x:f t="shared" si="8"/>
        <x:v>39506.642857142855</x:v>
      </x:c>
      <x:c r="J46" s="410">
        <x:f t="shared" si="8"/>
        <x:v>39506.642857142855</x:v>
      </x:c>
      <x:c r="K46" s="410">
        <x:f t="shared" si="8"/>
        <x:v>39506.642857142855</x:v>
      </x:c>
      <x:c r="L46" s="410">
        <x:f t="shared" si="8"/>
        <x:v>39506.642857142855</x:v>
      </x:c>
      <x:c r="M46" s="410">
        <x:f t="shared" si="8"/>
        <x:v>39506.642857142855</x:v>
      </x:c>
      <x:c r="N46" s="410">
        <x:f t="shared" si="8"/>
        <x:v>39506.642857142855</x:v>
      </x:c>
      <x:c r="O46" s="410">
        <x:f t="shared" si="8"/>
        <x:v>39506.642857142855</x:v>
      </x:c>
      <x:c r="P46" s="410">
        <x:f t="shared" si="8"/>
        <x:v>39506.642857142855</x:v>
      </x:c>
      <x:c r="Q46" s="410">
        <x:f t="shared" si="8"/>
        <x:v>39506.642857142855</x:v>
      </x:c>
      <x:c r="R46" s="410">
        <x:f t="shared" si="8"/>
        <x:v>40661.642857142855</x:v>
      </x:c>
      <x:c r="S46" s="410">
        <x:f t="shared" ref="S46" si="9">SUM(S21:S28,S41:S43)</x:f>
        <x:v>493549.71428571426</x:v>
      </x:c>
    </x:row>
    <x:row r="47" spans="2:19" ht="22.9" customHeight="1">
      <x:c r="B47" s="1353" t="s">
        <x:v>497</x:v>
      </x:c>
      <x:c r="C47" s="1353"/>
      <x:c r="D47" s="1353"/>
      <x:c r="E47" s="1353"/>
      <x:c r="F47" s="1353"/>
      <x:c r="G47" s="410">
        <x:f>SUM(G29:G39,G44:G45)</x:f>
        <x:v>33421</x:v>
      </x:c>
      <x:c r="H47" s="410">
        <x:f t="shared" ref="H47:S47" si="10">SUM(H29:H39,H44:H45)</x:f>
        <x:v>33421</x:v>
      </x:c>
      <x:c r="I47" s="410">
        <x:f t="shared" si="10"/>
        <x:v>33421</x:v>
      </x:c>
      <x:c r="J47" s="410">
        <x:f t="shared" si="10"/>
        <x:v>33421</x:v>
      </x:c>
      <x:c r="K47" s="410">
        <x:f t="shared" si="10"/>
        <x:v>33421</x:v>
      </x:c>
      <x:c r="L47" s="410">
        <x:f t="shared" si="10"/>
        <x:v>33421</x:v>
      </x:c>
      <x:c r="M47" s="410">
        <x:f t="shared" si="10"/>
        <x:v>33421</x:v>
      </x:c>
      <x:c r="N47" s="410">
        <x:f t="shared" si="10"/>
        <x:v>40681</x:v>
      </x:c>
      <x:c r="O47" s="410">
        <x:f t="shared" si="10"/>
        <x:v>40681</x:v>
      </x:c>
      <x:c r="P47" s="410">
        <x:f t="shared" si="10"/>
        <x:v>40681</x:v>
      </x:c>
      <x:c r="Q47" s="410">
        <x:f t="shared" si="10"/>
        <x:v>40681</x:v>
      </x:c>
      <x:c r="R47" s="410">
        <x:f>SUM(R29:R39,R44:R45)</x:f>
        <x:v>42001</x:v>
      </x:c>
      <x:c r="S47" s="410">
        <x:f t="shared" si="10"/>
        <x:v>438672</x:v>
      </x:c>
    </x:row>
    <x:row r="48" spans="2:19" ht="22.9" customHeight="1">
      <x:c r="B48" s="1352" t="s">
        <x:v>227</x:v>
      </x:c>
      <x:c r="C48" s="1352"/>
      <x:c r="D48" s="1352"/>
      <x:c r="E48" s="1352"/>
      <x:c r="F48" s="1352"/>
      <x:c r="G48" s="418">
        <x:f t="shared" ref="G48:S48" si="11">SUM(G21:G45)</x:f>
        <x:v>69297.642857142855</x:v>
      </x:c>
      <x:c r="H48" s="418">
        <x:f t="shared" si="11"/>
        <x:v>72927.642857142855</x:v>
      </x:c>
      <x:c r="I48" s="418">
        <x:f t="shared" si="11"/>
        <x:v>72927.642857142855</x:v>
      </x:c>
      <x:c r="J48" s="418">
        <x:f t="shared" si="11"/>
        <x:v>72927.642857142855</x:v>
      </x:c>
      <x:c r="K48" s="418">
        <x:f t="shared" si="11"/>
        <x:v>72927.642857142855</x:v>
      </x:c>
      <x:c r="L48" s="418">
        <x:f t="shared" si="11"/>
        <x:v>72927.642857142855</x:v>
      </x:c>
      <x:c r="M48" s="418">
        <x:f t="shared" si="11"/>
        <x:v>76557.642857142855</x:v>
      </x:c>
      <x:c r="N48" s="418">
        <x:f t="shared" si="11"/>
        <x:v>83817.642857142855</x:v>
      </x:c>
      <x:c r="O48" s="418">
        <x:f t="shared" si="11"/>
        <x:v>83817.642857142855</x:v>
      </x:c>
      <x:c r="P48" s="418">
        <x:f t="shared" si="11"/>
        <x:v>83817.642857142855</x:v>
      </x:c>
      <x:c r="Q48" s="418">
        <x:f t="shared" si="11"/>
        <x:v>83817.642857142855</x:v>
      </x:c>
      <x:c r="R48" s="418">
        <x:f t="shared" si="11"/>
        <x:v>86457.642857142855</x:v>
      </x:c>
      <x:c r="S48" s="418">
        <x:f t="shared" si="11"/>
        <x:v>932221.71428571432</x:v>
      </x:c>
    </x:row>
  </x:sheetData>
  <x:mergeCells count="17">
    <x:mergeCell ref="B48:F48"/>
    <x:mergeCell ref="B46:F46"/>
    <x:mergeCell ref="B47:F47"/>
    <x:mergeCell ref="B21:B23"/>
    <x:mergeCell ref="B24:B26"/>
    <x:mergeCell ref="B27:B28"/>
    <x:mergeCell ref="B29:B32"/>
    <x:mergeCell ref="B33:B34"/>
    <x:mergeCell ref="B35:B39"/>
    <x:mergeCell ref="J15:K15"/>
    <x:mergeCell ref="B5:C5"/>
    <x:mergeCell ref="B4:C4"/>
    <x:mergeCell ref="B9:C9"/>
    <x:mergeCell ref="B10:C10"/>
    <x:mergeCell ref="B11:B13"/>
    <x:mergeCell ref="B6:B8"/>
    <x:mergeCell ref="B14:C14"/>
  </x:mergeCells>
  <x:phoneticPr fontId="18" type="noConversion"/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726AF34-3E0D-4A23-BE43-C14681871732}" mc:Ignorable="x14ac xr xr2 xr3">
  <x:sheetPr codeName="Sheet9"/>
  <x:dimension ref="B1:S74"/>
  <x:sheetViews>
    <x:sheetView zoomScale="85" zoomScaleNormal="85" workbookViewId="0">
      <x:selection activeCell="G34" sqref="G34"/>
    </x:sheetView>
  </x:sheetViews>
  <x:sheetFormatPr defaultColWidth="8.75" defaultRowHeight="16.5"/>
  <x:cols>
    <x:col min="1" max="1" width="1.25" style="21" customWidth="1"/>
    <x:col min="2" max="2" width="5.75" style="21" customWidth="1"/>
    <x:col min="3" max="3" width="27.875" style="21" customWidth="1"/>
    <x:col min="4" max="4" width="11.5" style="21" customWidth="1"/>
    <x:col min="5" max="10" width="10.375" style="21" customWidth="1"/>
    <x:col min="11" max="11" width="14.5" style="21" customWidth="1"/>
    <x:col min="12" max="16" width="10.375" style="21" customWidth="1"/>
    <x:col min="17" max="17" width="25.25" style="21" customWidth="1"/>
    <x:col min="18" max="18" width="28.625" style="21" customWidth="1"/>
    <x:col min="19" max="19" width="31.75" style="21" customWidth="1"/>
    <x:col min="20" max="16384" width="8.75" style="21"/>
  </x:cols>
  <x:sheetData>
    <x:row r="1" spans="2:19" ht="31.5">
      <x:c r="B1" s="26" t="s">
        <x:v>564</x:v>
      </x:c>
      <x:c r="C1" s="26"/>
      <x:c r="D1" s="26"/>
    </x:row>
    <x:row r="2" spans="2:19" ht="2.4500000000000002" customHeight="1">
      <x:c r="B2" s="29"/>
      <x:c r="C2" s="29"/>
      <x:c r="D2" s="29"/>
      <x:c r="E2" s="29"/>
      <x:c r="F2" s="29"/>
      <x:c r="G2" s="29"/>
    </x:row>
    <x:row r="3" spans="2:19" ht="7.9" customHeight="1"/>
    <x:row r="4" spans="2:19" s="158" customFormat="1">
      <x:c r="B4" s="1360"/>
      <x:c r="C4" s="1360"/>
      <x:c r="D4" s="607" t="s">
        <x:v>513</x:v>
      </x:c>
      <x:c r="E4" s="607" t="s">
        <x:v>514</x:v>
      </x:c>
      <x:c r="F4" s="607" t="s">
        <x:v>515</x:v>
      </x:c>
      <x:c r="G4" s="607" t="s">
        <x:v>516</x:v>
      </x:c>
      <x:c r="H4" s="607" t="s">
        <x:v>173</x:v>
      </x:c>
      <x:c r="I4" s="607" t="s">
        <x:v>517</x:v>
      </x:c>
      <x:c r="J4" s="607" t="s">
        <x:v>518</x:v>
      </x:c>
      <x:c r="K4" s="607" t="s">
        <x:v>519</x:v>
      </x:c>
      <x:c r="L4" s="607" t="s">
        <x:v>520</x:v>
      </x:c>
      <x:c r="M4" s="607" t="s">
        <x:v>521</x:v>
      </x:c>
      <x:c r="N4" s="607" t="s">
        <x:v>522</x:v>
      </x:c>
      <x:c r="O4" s="607" t="s">
        <x:v>523</x:v>
      </x:c>
      <x:c r="P4" s="607" t="s">
        <x:v>524</x:v>
      </x:c>
      <x:c r="Q4" s="554" t="s">
        <x:v>208</x:v>
      </x:c>
      <x:c r="R4" s="554" t="s">
        <x:v>208</x:v>
      </x:c>
      <x:c r="S4" s="530"/>
    </x:row>
    <x:row r="5" spans="2:19" s="158" customFormat="1">
      <x:c r="B5" s="1359" t="s">
        <x:v>530</x:v>
      </x:c>
      <x:c r="C5" s="1359"/>
      <x:c r="D5" s="747">
        <x:f>1000*22</x:f>
        <x:v>22000</x:v>
      </x:c>
      <x:c r="E5" s="747">
        <x:f t="shared" ref="E5:O5" si="0">1000*20</x:f>
        <x:v>20000</x:v>
      </x:c>
      <x:c r="F5" s="747">
        <x:f t="shared" si="0"/>
        <x:v>20000</x:v>
      </x:c>
      <x:c r="G5" s="747">
        <x:f t="shared" si="0"/>
        <x:v>20000</x:v>
      </x:c>
      <x:c r="H5" s="747">
        <x:f t="shared" si="0"/>
        <x:v>20000</x:v>
      </x:c>
      <x:c r="I5" s="747">
        <x:f t="shared" si="0"/>
        <x:v>20000</x:v>
      </x:c>
      <x:c r="J5" s="747">
        <x:f t="shared" si="0"/>
        <x:v>20000</x:v>
      </x:c>
      <x:c r="K5" s="747">
        <x:f t="shared" si="0"/>
        <x:v>20000</x:v>
      </x:c>
      <x:c r="L5" s="747">
        <x:f t="shared" si="0"/>
        <x:v>20000</x:v>
      </x:c>
      <x:c r="M5" s="747">
        <x:f t="shared" si="0"/>
        <x:v>20000</x:v>
      </x:c>
      <x:c r="N5" s="747">
        <x:f t="shared" si="0"/>
        <x:v>20000</x:v>
      </x:c>
      <x:c r="O5" s="747">
        <x:f t="shared" si="0"/>
        <x:v>20000</x:v>
      </x:c>
      <x:c r="P5" s="747">
        <x:f>SUM(D5:O5)</x:f>
        <x:v>242000</x:v>
      </x:c>
      <x:c r="Q5" s="580" t="s">
        <x:v>533</x:v>
      </x:c>
      <x:c r="R5" s="580" t="s">
        <x:v>1066</x:v>
      </x:c>
      <x:c r="S5" s="530"/>
    </x:row>
    <x:row r="6" spans="2:19" s="158" customFormat="1">
      <x:c r="B6" s="1359" t="s">
        <x:v>531</x:v>
      </x:c>
      <x:c r="C6" s="1359"/>
      <x:c r="D6" s="747">
        <x:f>1000*22</x:f>
        <x:v>22000</x:v>
      </x:c>
      <x:c r="E6" s="747">
        <x:f t="shared" ref="E6:O6" si="1">1000*22</x:f>
        <x:v>22000</x:v>
      </x:c>
      <x:c r="F6" s="747">
        <x:f t="shared" si="1"/>
        <x:v>22000</x:v>
      </x:c>
      <x:c r="G6" s="747">
        <x:f t="shared" si="1"/>
        <x:v>22000</x:v>
      </x:c>
      <x:c r="H6" s="747">
        <x:f t="shared" si="1"/>
        <x:v>22000</x:v>
      </x:c>
      <x:c r="I6" s="747">
        <x:f t="shared" si="1"/>
        <x:v>22000</x:v>
      </x:c>
      <x:c r="J6" s="747">
        <x:f t="shared" si="1"/>
        <x:v>22000</x:v>
      </x:c>
      <x:c r="K6" s="747">
        <x:f t="shared" si="1"/>
        <x:v>22000</x:v>
      </x:c>
      <x:c r="L6" s="747">
        <x:f t="shared" si="1"/>
        <x:v>22000</x:v>
      </x:c>
      <x:c r="M6" s="747">
        <x:f t="shared" si="1"/>
        <x:v>22000</x:v>
      </x:c>
      <x:c r="N6" s="747">
        <x:f t="shared" si="1"/>
        <x:v>22000</x:v>
      </x:c>
      <x:c r="O6" s="747">
        <x:f t="shared" si="1"/>
        <x:v>22000</x:v>
      </x:c>
      <x:c r="P6" s="747">
        <x:f>SUM(D6:O6)</x:f>
        <x:v>264000</x:v>
      </x:c>
      <x:c r="Q6" s="580" t="s">
        <x:v>534</x:v>
      </x:c>
      <x:c r="R6" s="580" t="s">
        <x:v>1066</x:v>
      </x:c>
      <x:c r="S6" s="530"/>
    </x:row>
    <x:row r="7" spans="2:19" s="158" customFormat="1">
      <x:c r="B7" s="1359" t="s">
        <x:v>532</x:v>
      </x:c>
      <x:c r="C7" s="1359"/>
      <x:c r="D7" s="747">
        <x:v>2000</x:v>
      </x:c>
      <x:c r="E7" s="747">
        <x:v>2000</x:v>
      </x:c>
      <x:c r="F7" s="747">
        <x:v>2000</x:v>
      </x:c>
      <x:c r="G7" s="747">
        <x:v>2000</x:v>
      </x:c>
      <x:c r="H7" s="747">
        <x:v>2000</x:v>
      </x:c>
      <x:c r="I7" s="747">
        <x:v>2000</x:v>
      </x:c>
      <x:c r="J7" s="747">
        <x:v>2000</x:v>
      </x:c>
      <x:c r="K7" s="747">
        <x:v>2000</x:v>
      </x:c>
      <x:c r="L7" s="747">
        <x:v>2000</x:v>
      </x:c>
      <x:c r="M7" s="747">
        <x:v>2000</x:v>
      </x:c>
      <x:c r="N7" s="747">
        <x:v>2000</x:v>
      </x:c>
      <x:c r="O7" s="747">
        <x:v>2000</x:v>
      </x:c>
      <x:c r="P7" s="747">
        <x:f>SUM(D7:O7)</x:f>
        <x:v>24000</x:v>
      </x:c>
      <x:c r="Q7" s="580" t="s">
        <x:v>535</x:v>
      </x:c>
      <x:c r="R7" s="580" t="s">
        <x:v>575</x:v>
      </x:c>
      <x:c r="S7" s="530"/>
    </x:row>
    <x:row r="8" spans="2:19" s="158" customFormat="1">
      <x:c r="B8" s="1359" t="s">
        <x:v>573</x:v>
      </x:c>
      <x:c r="C8" s="1359"/>
      <x:c r="D8" s="747">
        <x:v>1000</x:v>
      </x:c>
      <x:c r="E8" s="747">
        <x:v>1000</x:v>
      </x:c>
      <x:c r="F8" s="747">
        <x:v>1000</x:v>
      </x:c>
      <x:c r="G8" s="747">
        <x:v>1000</x:v>
      </x:c>
      <x:c r="H8" s="747">
        <x:v>1000</x:v>
      </x:c>
      <x:c r="I8" s="747">
        <x:v>1000</x:v>
      </x:c>
      <x:c r="J8" s="747">
        <x:v>1000</x:v>
      </x:c>
      <x:c r="K8" s="747">
        <x:v>1000</x:v>
      </x:c>
      <x:c r="L8" s="747">
        <x:v>1000</x:v>
      </x:c>
      <x:c r="M8" s="747">
        <x:v>1000</x:v>
      </x:c>
      <x:c r="N8" s="747">
        <x:v>1000</x:v>
      </x:c>
      <x:c r="O8" s="747">
        <x:v>1000</x:v>
      </x:c>
      <x:c r="P8" s="747">
        <x:f>SUM(D8:O8)</x:f>
        <x:v>12000</x:v>
      </x:c>
      <x:c r="Q8" s="580" t="s">
        <x:v>574</x:v>
      </x:c>
      <x:c r="R8" s="580" t="s">
        <x:v>576</x:v>
      </x:c>
      <x:c r="S8" s="530"/>
    </x:row>
    <x:row r="9" spans="2:19" s="158" customFormat="1">
      <x:c r="B9" s="1359" t="s">
        <x:v>581</x:v>
      </x:c>
      <x:c r="C9" s="1359"/>
      <x:c r="D9" s="747">
        <x:v>1000</x:v>
      </x:c>
      <x:c r="E9" s="747">
        <x:v>1000</x:v>
      </x:c>
      <x:c r="F9" s="747">
        <x:v>1000</x:v>
      </x:c>
      <x:c r="G9" s="747">
        <x:v>1000</x:v>
      </x:c>
      <x:c r="H9" s="747">
        <x:v>1000</x:v>
      </x:c>
      <x:c r="I9" s="747">
        <x:v>1000</x:v>
      </x:c>
      <x:c r="J9" s="747">
        <x:v>1000</x:v>
      </x:c>
      <x:c r="K9" s="747">
        <x:v>1000</x:v>
      </x:c>
      <x:c r="L9" s="747">
        <x:v>1000</x:v>
      </x:c>
      <x:c r="M9" s="747">
        <x:v>1000</x:v>
      </x:c>
      <x:c r="N9" s="747">
        <x:v>1000</x:v>
      </x:c>
      <x:c r="O9" s="747">
        <x:v>1000</x:v>
      </x:c>
      <x:c r="P9" s="747">
        <x:f>SUM(D9:O9)</x:f>
        <x:v>12000</x:v>
      </x:c>
      <x:c r="Q9" s="580" t="s">
        <x:v>574</x:v>
      </x:c>
      <x:c r="R9" s="580" t="s">
        <x:v>576</x:v>
      </x:c>
      <x:c r="S9" s="530"/>
    </x:row>
    <x:row r="11" spans="2:19" ht="31.5">
      <x:c r="B11" s="26" t="s">
        <x:v>577</x:v>
      </x:c>
      <x:c r="C11" s="26"/>
      <x:c r="D11" s="26"/>
      <x:c r="F11" s="178" t="s">
        <x:v>883</x:v>
      </x:c>
      <x:c r="G11" s="178">
        <x:v>24</x:v>
      </x:c>
      <x:c r="H11" s="178"/>
      <x:c r="I11" s="178" t="s">
        <x:v>884</x:v>
      </x:c>
      <x:c r="J11" s="178">
        <x:v>11</x:v>
      </x:c>
      <x:c r="K11" s="178" t="s">
        <x:v>885</x:v>
      </x:c>
      <x:c r="L11" s="178">
        <x:v>11</x:v>
      </x:c>
      <x:c r="M11" s="178"/>
    </x:row>
    <x:row r="12" spans="2:19" ht="2.4500000000000002" customHeight="1">
      <x:c r="B12" s="29"/>
      <x:c r="C12" s="29"/>
      <x:c r="D12" s="29"/>
      <x:c r="E12" s="29"/>
      <x:c r="F12" s="29"/>
      <x:c r="G12" s="29"/>
    </x:row>
    <x:row r="13" spans="2:19" ht="7.9" customHeight="1"/>
    <x:row r="14" spans="2:19" s="158" customFormat="1">
      <x:c r="B14" s="1360"/>
      <x:c r="C14" s="1360"/>
      <x:c r="D14" s="607" t="s">
        <x:v>513</x:v>
      </x:c>
      <x:c r="E14" s="607" t="s">
        <x:v>514</x:v>
      </x:c>
      <x:c r="F14" s="607" t="s">
        <x:v>515</x:v>
      </x:c>
      <x:c r="G14" s="607" t="s">
        <x:v>516</x:v>
      </x:c>
      <x:c r="H14" s="607" t="s">
        <x:v>173</x:v>
      </x:c>
      <x:c r="I14" s="607" t="s">
        <x:v>517</x:v>
      </x:c>
      <x:c r="J14" s="607" t="s">
        <x:v>518</x:v>
      </x:c>
      <x:c r="K14" s="607" t="s">
        <x:v>519</x:v>
      </x:c>
      <x:c r="L14" s="607" t="s">
        <x:v>520</x:v>
      </x:c>
      <x:c r="M14" s="607" t="s">
        <x:v>521</x:v>
      </x:c>
      <x:c r="N14" s="607" t="s">
        <x:v>522</x:v>
      </x:c>
      <x:c r="O14" s="607" t="s">
        <x:v>523</x:v>
      </x:c>
      <x:c r="P14" s="607" t="s">
        <x:v>524</x:v>
      </x:c>
      <x:c r="Q14" s="753" t="s">
        <x:v>208</x:v>
      </x:c>
      <x:c r="R14" s="753" t="s">
        <x:v>568</x:v>
      </x:c>
      <x:c r="S14" s="753" t="s">
        <x:v>567</x:v>
      </x:c>
    </x:row>
    <x:row r="15" spans="2:19" s="158" customFormat="1">
      <x:c r="B15" s="1360" t="s">
        <x:v>878</x:v>
      </x:c>
      <x:c r="C15" s="1360"/>
      <x:c r="D15" s="747">
        <x:f t="shared" ref="D15:O15" si="2">SUM(D16:D18)</x:f>
        <x:v>2000</x:v>
      </x:c>
      <x:c r="E15" s="747">
        <x:f t="shared" si="2"/>
        <x:v>2000</x:v>
      </x:c>
      <x:c r="F15" s="747">
        <x:f t="shared" si="2"/>
        <x:v>146000</x:v>
      </x:c>
      <x:c r="G15" s="747">
        <x:f t="shared" si="2"/>
        <x:v>2000</x:v>
      </x:c>
      <x:c r="H15" s="747">
        <x:f t="shared" si="2"/>
        <x:v>2000</x:v>
      </x:c>
      <x:c r="I15" s="747">
        <x:f t="shared" si="2"/>
        <x:v>2000</x:v>
      </x:c>
      <x:c r="J15" s="747">
        <x:f t="shared" si="2"/>
        <x:v>2000</x:v>
      </x:c>
      <x:c r="K15" s="747">
        <x:f t="shared" si="2"/>
        <x:v>2000</x:v>
      </x:c>
      <x:c r="L15" s="747">
        <x:f t="shared" si="2"/>
        <x:v>2000</x:v>
      </x:c>
      <x:c r="M15" s="747">
        <x:f t="shared" si="2"/>
        <x:v>2000</x:v>
      </x:c>
      <x:c r="N15" s="747">
        <x:f t="shared" si="2"/>
        <x:v>2000</x:v>
      </x:c>
      <x:c r="O15" s="747">
        <x:f t="shared" si="2"/>
        <x:v>2000</x:v>
      </x:c>
      <x:c r="P15" s="747">
        <x:f>SUM(D15:O15)</x:f>
        <x:v>168000</x:v>
      </x:c>
      <x:c r="Q15" s="496"/>
      <x:c r="R15" s="496"/>
      <x:c r="S15" s="496"/>
    </x:row>
    <x:row r="16" spans="2:19" s="158" customFormat="1">
      <x:c r="B16" s="649"/>
      <x:c r="C16" s="487" t="s">
        <x:v>879</x:v>
      </x:c>
      <x:c r="D16" s="747">
        <x:v>0</x:v>
      </x:c>
      <x:c r="E16" s="747">
        <x:v>0</x:v>
      </x:c>
      <x:c r="F16" s="747">
        <x:v>0</x:v>
      </x:c>
      <x:c r="G16" s="747">
        <x:v>0</x:v>
      </x:c>
      <x:c r="H16" s="747">
        <x:v>0</x:v>
      </x:c>
      <x:c r="I16" s="747">
        <x:v>0</x:v>
      </x:c>
      <x:c r="J16" s="747">
        <x:v>0</x:v>
      </x:c>
      <x:c r="K16" s="747">
        <x:v>0</x:v>
      </x:c>
      <x:c r="L16" s="747">
        <x:v>0</x:v>
      </x:c>
      <x:c r="M16" s="747">
        <x:v>0</x:v>
      </x:c>
      <x:c r="N16" s="747">
        <x:v>0</x:v>
      </x:c>
      <x:c r="O16" s="747">
        <x:v>0</x:v>
      </x:c>
      <x:c r="P16" s="747">
        <x:f>SUM(D16:O16)</x:f>
        <x:v>0</x:v>
      </x:c>
      <x:c r="Q16" s="496"/>
      <x:c r="R16" s="496"/>
      <x:c r="S16" s="496"/>
    </x:row>
    <x:row r="17" spans="2:19" s="158" customFormat="1">
      <x:c r="B17" s="649"/>
      <x:c r="C17" s="487" t="s">
        <x:v>880</x:v>
      </x:c>
      <x:c r="D17" s="747">
        <x:f>((D19+D20)*0.5)</x:f>
        <x:v>1000</x:v>
      </x:c>
      <x:c r="E17" s="747">
        <x:f t="shared" ref="E17:P17" si="3">((E19+E20)*0.5)</x:f>
        <x:v>1000</x:v>
      </x:c>
      <x:c r="F17" s="747">
        <x:f t="shared" si="3"/>
        <x:v>73000</x:v>
      </x:c>
      <x:c r="G17" s="747">
        <x:f t="shared" si="3"/>
        <x:v>1000</x:v>
      </x:c>
      <x:c r="H17" s="747">
        <x:f t="shared" si="3"/>
        <x:v>1000</x:v>
      </x:c>
      <x:c r="I17" s="747">
        <x:f t="shared" si="3"/>
        <x:v>1000</x:v>
      </x:c>
      <x:c r="J17" s="747">
        <x:f t="shared" si="3"/>
        <x:v>1000</x:v>
      </x:c>
      <x:c r="K17" s="747">
        <x:f t="shared" si="3"/>
        <x:v>1000</x:v>
      </x:c>
      <x:c r="L17" s="747">
        <x:f t="shared" si="3"/>
        <x:v>1000</x:v>
      </x:c>
      <x:c r="M17" s="747">
        <x:f t="shared" si="3"/>
        <x:v>1000</x:v>
      </x:c>
      <x:c r="N17" s="747">
        <x:f t="shared" si="3"/>
        <x:v>1000</x:v>
      </x:c>
      <x:c r="O17" s="747">
        <x:f t="shared" si="3"/>
        <x:v>1000</x:v>
      </x:c>
      <x:c r="P17" s="747">
        <x:f t="shared" si="3"/>
        <x:v>84000</x:v>
      </x:c>
      <x:c r="Q17" s="496"/>
      <x:c r="R17" s="496"/>
      <x:c r="S17" s="496" t="s">
        <x:v>882</x:v>
      </x:c>
    </x:row>
    <x:row r="18" spans="2:19" s="158" customFormat="1">
      <x:c r="B18" s="649"/>
      <x:c r="C18" s="487" t="s">
        <x:v>881</x:v>
      </x:c>
      <x:c r="D18" s="747">
        <x:f>((D19+D20)*0.5)</x:f>
        <x:v>1000</x:v>
      </x:c>
      <x:c r="E18" s="747">
        <x:f t="shared" ref="E18:P18" si="4">((E19+E20)*0.5)</x:f>
        <x:v>1000</x:v>
      </x:c>
      <x:c r="F18" s="747">
        <x:f t="shared" si="4"/>
        <x:v>73000</x:v>
      </x:c>
      <x:c r="G18" s="747">
        <x:f t="shared" si="4"/>
        <x:v>1000</x:v>
      </x:c>
      <x:c r="H18" s="747">
        <x:f t="shared" si="4"/>
        <x:v>1000</x:v>
      </x:c>
      <x:c r="I18" s="747">
        <x:f t="shared" si="4"/>
        <x:v>1000</x:v>
      </x:c>
      <x:c r="J18" s="747">
        <x:f t="shared" si="4"/>
        <x:v>1000</x:v>
      </x:c>
      <x:c r="K18" s="747">
        <x:f t="shared" si="4"/>
        <x:v>1000</x:v>
      </x:c>
      <x:c r="L18" s="747">
        <x:f t="shared" si="4"/>
        <x:v>1000</x:v>
      </x:c>
      <x:c r="M18" s="747">
        <x:f t="shared" si="4"/>
        <x:v>1000</x:v>
      </x:c>
      <x:c r="N18" s="747">
        <x:f t="shared" si="4"/>
        <x:v>1000</x:v>
      </x:c>
      <x:c r="O18" s="747">
        <x:f t="shared" si="4"/>
        <x:v>1000</x:v>
      </x:c>
      <x:c r="P18" s="747">
        <x:f t="shared" si="4"/>
        <x:v>84000</x:v>
      </x:c>
      <x:c r="Q18" s="496"/>
      <x:c r="R18" s="496"/>
      <x:c r="S18" s="496" t="s">
        <x:v>882</x:v>
      </x:c>
    </x:row>
    <x:row r="19" spans="2:19" s="158" customFormat="1">
      <x:c r="B19" s="1359" t="s">
        <x:v>566</x:v>
      </x:c>
      <x:c r="C19" s="1359"/>
      <x:c r="D19" s="747">
        <x:v>2000</x:v>
      </x:c>
      <x:c r="E19" s="747">
        <x:v>2000</x:v>
      </x:c>
      <x:c r="F19" s="747">
        <x:v>2000</x:v>
      </x:c>
      <x:c r="G19" s="747">
        <x:v>2000</x:v>
      </x:c>
      <x:c r="H19" s="747">
        <x:v>2000</x:v>
      </x:c>
      <x:c r="I19" s="747">
        <x:v>2000</x:v>
      </x:c>
      <x:c r="J19" s="747">
        <x:v>2000</x:v>
      </x:c>
      <x:c r="K19" s="747">
        <x:v>2000</x:v>
      </x:c>
      <x:c r="L19" s="747">
        <x:v>2000</x:v>
      </x:c>
      <x:c r="M19" s="747">
        <x:v>2000</x:v>
      </x:c>
      <x:c r="N19" s="747">
        <x:v>2000</x:v>
      </x:c>
      <x:c r="O19" s="747">
        <x:v>2000</x:v>
      </x:c>
      <x:c r="P19" s="747">
        <x:f>SUM(D19:O19)</x:f>
        <x:v>24000</x:v>
      </x:c>
      <x:c r="Q19" s="496" t="s">
        <x:v>570</x:v>
      </x:c>
      <x:c r="R19" s="496" t="s">
        <x:v>569</x:v>
      </x:c>
      <x:c r="S19" s="608">
        <x:v>24</x:v>
      </x:c>
    </x:row>
    <x:row r="20" spans="2:19" s="158" customFormat="1" ht="27">
      <x:c r="B20" s="1360" t="s">
        <x:v>571</x:v>
      </x:c>
      <x:c r="C20" s="1360"/>
      <x:c r="D20" s="747"/>
      <x:c r="E20" s="747"/>
      <x:c r="F20" s="747">
        <x:f>'3. HR'!H7*6000</x:f>
        <x:v>144000</x:v>
      </x:c>
      <x:c r="G20" s="747"/>
      <x:c r="H20" s="747"/>
      <x:c r="I20" s="747"/>
      <x:c r="J20" s="747"/>
      <x:c r="K20" s="747"/>
      <x:c r="L20" s="747"/>
      <x:c r="M20" s="747"/>
      <x:c r="N20" s="747"/>
      <x:c r="O20" s="747"/>
      <x:c r="P20" s="747">
        <x:f>SUM(D20:O20)</x:f>
        <x:v>144000</x:v>
      </x:c>
      <x:c r="Q20" s="719" t="s">
        <x:v>572</x:v>
      </x:c>
      <x:c r="R20" s="496" t="s">
        <x:v>569</x:v>
      </x:c>
      <x:c r="S20" s="608">
        <x:v>23</x:v>
      </x:c>
    </x:row>
    <x:row r="21" spans="2:19" ht="7.9" customHeight="1">
      <x:c r="B21" s="649"/>
      <x:c r="C21" s="649"/>
      <x:c r="D21" s="649"/>
      <x:c r="E21" s="649"/>
      <x:c r="F21" s="649"/>
      <x:c r="G21" s="649"/>
      <x:c r="H21" s="649"/>
      <x:c r="I21" s="649"/>
      <x:c r="J21" s="649"/>
      <x:c r="K21" s="649"/>
      <x:c r="L21" s="649"/>
      <x:c r="M21" s="649"/>
      <x:c r="N21" s="649"/>
      <x:c r="O21" s="649"/>
      <x:c r="P21" s="649"/>
      <x:c r="Q21" s="743"/>
      <x:c r="R21" s="743"/>
      <x:c r="S21" s="743"/>
    </x:row>
    <x:row r="22" spans="2:19" s="158" customFormat="1" ht="17.45" customHeight="1">
      <x:c r="B22" s="1360" t="s">
        <x:v>659</x:v>
      </x:c>
      <x:c r="C22" s="1360"/>
      <x:c r="D22" s="747">
        <x:v>50000</x:v>
      </x:c>
      <x:c r="E22" s="747">
        <x:v>50000</x:v>
      </x:c>
      <x:c r="F22" s="747">
        <x:v>50000</x:v>
      </x:c>
      <x:c r="G22" s="747">
        <x:v>50000</x:v>
      </x:c>
      <x:c r="H22" s="747">
        <x:v>50000</x:v>
      </x:c>
      <x:c r="I22" s="747">
        <x:v>50000</x:v>
      </x:c>
      <x:c r="J22" s="747">
        <x:v>50000</x:v>
      </x:c>
      <x:c r="K22" s="747">
        <x:v>50000</x:v>
      </x:c>
      <x:c r="L22" s="747">
        <x:v>50000</x:v>
      </x:c>
      <x:c r="M22" s="747">
        <x:v>50000</x:v>
      </x:c>
      <x:c r="N22" s="747">
        <x:v>50000</x:v>
      </x:c>
      <x:c r="O22" s="747">
        <x:v>50000</x:v>
      </x:c>
      <x:c r="P22" s="747">
        <x:f>SUM(D22:O22)</x:f>
        <x:v>600000</x:v>
      </x:c>
      <x:c r="Q22" s="398" t="s">
        <x:v>891</x:v>
      </x:c>
      <x:c r="R22" s="401" t="s">
        <x:v>578</x:v>
      </x:c>
      <x:c r="S22" s="401"/>
    </x:row>
    <x:row r="23" spans="2:19" ht="17.45" customHeight="1">
      <x:c r="B23" s="1360" t="s">
        <x:v>660</x:v>
      </x:c>
      <x:c r="C23" s="1360"/>
      <x:c r="D23" s="747">
        <x:v>20000</x:v>
      </x:c>
      <x:c r="E23" s="747">
        <x:v>20000</x:v>
      </x:c>
      <x:c r="F23" s="747">
        <x:v>20000</x:v>
      </x:c>
      <x:c r="G23" s="747">
        <x:v>20000</x:v>
      </x:c>
      <x:c r="H23" s="747">
        <x:v>20000</x:v>
      </x:c>
      <x:c r="I23" s="747">
        <x:v>20000</x:v>
      </x:c>
      <x:c r="J23" s="747">
        <x:v>20000</x:v>
      </x:c>
      <x:c r="K23" s="747">
        <x:v>20000</x:v>
      </x:c>
      <x:c r="L23" s="747">
        <x:v>20000</x:v>
      </x:c>
      <x:c r="M23" s="747">
        <x:v>20000</x:v>
      </x:c>
      <x:c r="N23" s="747">
        <x:v>20000</x:v>
      </x:c>
      <x:c r="O23" s="747">
        <x:v>20000</x:v>
      </x:c>
      <x:c r="P23" s="747">
        <x:f t="shared" ref="P23" si="5">SUM(D23:O23)</x:f>
        <x:v>240000</x:v>
      </x:c>
      <x:c r="Q23" s="398" t="s">
        <x:v>579</x:v>
      </x:c>
      <x:c r="R23" s="401" t="s">
        <x:v>580</x:v>
      </x:c>
      <x:c r="S23" s="401"/>
    </x:row>
    <x:row r="24" spans="2:19" ht="21.6" customHeight="1">
      <x:c r="B24" s="1360" t="s">
        <x:v>661</x:v>
      </x:c>
      <x:c r="C24" s="1360"/>
      <x:c r="D24" s="747">
        <x:v>35000</x:v>
      </x:c>
      <x:c r="E24" s="747">
        <x:v>35000</x:v>
      </x:c>
      <x:c r="F24" s="747">
        <x:v>35000</x:v>
      </x:c>
      <x:c r="G24" s="747">
        <x:v>35000</x:v>
      </x:c>
      <x:c r="H24" s="747">
        <x:v>35000</x:v>
      </x:c>
      <x:c r="I24" s="747">
        <x:v>35000</x:v>
      </x:c>
      <x:c r="J24" s="747">
        <x:v>35000</x:v>
      </x:c>
      <x:c r="K24" s="747">
        <x:v>35000</x:v>
      </x:c>
      <x:c r="L24" s="747">
        <x:v>35000</x:v>
      </x:c>
      <x:c r="M24" s="747">
        <x:v>35000</x:v>
      </x:c>
      <x:c r="N24" s="747">
        <x:v>35000</x:v>
      </x:c>
      <x:c r="O24" s="747">
        <x:v>35000</x:v>
      </x:c>
      <x:c r="P24" s="747">
        <x:f t="shared" ref="P24" si="6">SUM(D24:O24)</x:f>
        <x:v>420000</x:v>
      </x:c>
      <x:c r="Q24" s="398" t="s">
        <x:v>582</x:v>
      </x:c>
      <x:c r="R24" s="401" t="s">
        <x:v>580</x:v>
      </x:c>
      <x:c r="S24" s="398" t="s">
        <x:v>1262</x:v>
      </x:c>
    </x:row>
    <x:row r="25" spans="2:19" s="158" customFormat="1">
      <x:c r="B25" s="1360" t="s">
        <x:v>769</x:v>
      </x:c>
      <x:c r="C25" s="1360"/>
      <x:c r="D25" s="747">
        <x:f>600*2*8</x:f>
        <x:v>9600</x:v>
      </x:c>
      <x:c r="E25" s="747">
        <x:f t="shared" ref="E25:O25" si="7">600*2*8</x:f>
        <x:v>9600</x:v>
      </x:c>
      <x:c r="F25" s="747">
        <x:f t="shared" si="7"/>
        <x:v>9600</x:v>
      </x:c>
      <x:c r="G25" s="747">
        <x:f t="shared" si="7"/>
        <x:v>9600</x:v>
      </x:c>
      <x:c r="H25" s="747">
        <x:f t="shared" si="7"/>
        <x:v>9600</x:v>
      </x:c>
      <x:c r="I25" s="747">
        <x:f t="shared" si="7"/>
        <x:v>9600</x:v>
      </x:c>
      <x:c r="J25" s="747">
        <x:f t="shared" si="7"/>
        <x:v>9600</x:v>
      </x:c>
      <x:c r="K25" s="747">
        <x:f t="shared" si="7"/>
        <x:v>9600</x:v>
      </x:c>
      <x:c r="L25" s="747">
        <x:f t="shared" si="7"/>
        <x:v>9600</x:v>
      </x:c>
      <x:c r="M25" s="747">
        <x:f t="shared" si="7"/>
        <x:v>9600</x:v>
      </x:c>
      <x:c r="N25" s="747">
        <x:f t="shared" si="7"/>
        <x:v>9600</x:v>
      </x:c>
      <x:c r="O25" s="747">
        <x:f t="shared" si="7"/>
        <x:v>9600</x:v>
      </x:c>
      <x:c r="P25" s="747">
        <x:f>SUM(D25:O25)</x:f>
        <x:v>115200</x:v>
      </x:c>
      <x:c r="Q25" s="589" t="s">
        <x:v>867</x:v>
      </x:c>
      <x:c r="R25" s="589" t="s">
        <x:v>866</x:v>
      </x:c>
      <x:c r="S25" s="401"/>
    </x:row>
    <x:row r="26" spans="2:19">
      <x:c r="Q26" s="20"/>
      <x:c r="R26" s="20"/>
      <x:c r="S26" s="20"/>
    </x:row>
    <x:row r="28" spans="2:19" ht="31.5">
      <x:c r="B28" s="26" t="s">
        <x:v>873</x:v>
      </x:c>
      <x:c r="C28" s="26"/>
      <x:c r="D28" s="26"/>
    </x:row>
    <x:row r="29" spans="2:19" ht="2.4500000000000002" customHeight="1">
      <x:c r="B29" s="29"/>
      <x:c r="C29" s="29"/>
      <x:c r="D29" s="29"/>
      <x:c r="E29" s="29"/>
      <x:c r="F29" s="29"/>
      <x:c r="G29" s="29"/>
    </x:row>
    <x:row r="30" spans="2:19" ht="7.9" customHeight="1"/>
    <x:row r="31" spans="2:19" s="158" customFormat="1">
      <x:c r="B31" s="1361"/>
      <x:c r="C31" s="1361"/>
      <x:c r="D31" s="231" t="s">
        <x:v>169</x:v>
      </x:c>
      <x:c r="E31" s="231" t="s">
        <x:v>170</x:v>
      </x:c>
      <x:c r="F31" s="231" t="s">
        <x:v>171</x:v>
      </x:c>
      <x:c r="G31" s="231" t="s">
        <x:v>172</x:v>
      </x:c>
      <x:c r="H31" s="231" t="s">
        <x:v>173</x:v>
      </x:c>
      <x:c r="I31" s="231" t="s">
        <x:v>174</x:v>
      </x:c>
      <x:c r="J31" s="231" t="s">
        <x:v>175</x:v>
      </x:c>
      <x:c r="K31" s="231" t="s">
        <x:v>176</x:v>
      </x:c>
      <x:c r="L31" s="231" t="s">
        <x:v>177</x:v>
      </x:c>
      <x:c r="M31" s="231" t="s">
        <x:v>178</x:v>
      </x:c>
      <x:c r="N31" s="231" t="s">
        <x:v>179</x:v>
      </x:c>
      <x:c r="O31" s="231" t="s">
        <x:v>180</x:v>
      </x:c>
      <x:c r="P31" s="669" t="s">
        <x:v>524</x:v>
      </x:c>
      <x:c r="Q31" s="231" t="s">
        <x:v>208</x:v>
      </x:c>
    </x:row>
    <x:row r="32" spans="2:19" s="158" customFormat="1">
      <x:c r="B32" s="1362" t="s">
        <x:v>538</x:v>
      </x:c>
      <x:c r="C32" s="1362"/>
      <x:c r="D32" s="747">
        <x:f t="shared" ref="D32:O32" si="8">6590*1.3</x:f>
        <x:v>8567</x:v>
      </x:c>
      <x:c r="E32" s="747">
        <x:f t="shared" si="8"/>
        <x:v>8567</x:v>
      </x:c>
      <x:c r="F32" s="747">
        <x:f t="shared" si="8"/>
        <x:v>8567</x:v>
      </x:c>
      <x:c r="G32" s="747">
        <x:f t="shared" si="8"/>
        <x:v>8567</x:v>
      </x:c>
      <x:c r="H32" s="747">
        <x:f t="shared" si="8"/>
        <x:v>8567</x:v>
      </x:c>
      <x:c r="I32" s="747">
        <x:f t="shared" si="8"/>
        <x:v>8567</x:v>
      </x:c>
      <x:c r="J32" s="747">
        <x:f t="shared" si="8"/>
        <x:v>8567</x:v>
      </x:c>
      <x:c r="K32" s="747">
        <x:f t="shared" si="8"/>
        <x:v>8567</x:v>
      </x:c>
      <x:c r="L32" s="747">
        <x:f t="shared" si="8"/>
        <x:v>8567</x:v>
      </x:c>
      <x:c r="M32" s="747">
        <x:f t="shared" si="8"/>
        <x:v>8567</x:v>
      </x:c>
      <x:c r="N32" s="747">
        <x:f t="shared" si="8"/>
        <x:v>8567</x:v>
      </x:c>
      <x:c r="O32" s="747">
        <x:f t="shared" si="8"/>
        <x:v>8567</x:v>
      </x:c>
      <x:c r="P32" s="747">
        <x:f>SUM(D32:O32)</x:f>
        <x:v>102804</x:v>
      </x:c>
      <x:c r="Q32" s="661" t="s">
        <x:v>539</x:v>
      </x:c>
    </x:row>
    <x:row r="33" spans="2:17" s="158" customFormat="1">
      <x:c r="B33" s="1363" t="s">
        <x:v>540</x:v>
      </x:c>
      <x:c r="C33" s="1364"/>
      <x:c r="D33" s="444">
        <x:f t="shared" ref="D33:O33" si="9">SUM(D34:D35)</x:f>
        <x:v>0</x:v>
      </x:c>
      <x:c r="E33" s="444">
        <x:f t="shared" si="9"/>
        <x:v>0</x:v>
      </x:c>
      <x:c r="F33" s="444">
        <x:f t="shared" si="9"/>
        <x:v>0</x:v>
      </x:c>
      <x:c r="G33" s="444">
        <x:f t="shared" si="9"/>
        <x:v>12000</x:v>
      </x:c>
      <x:c r="H33" s="444">
        <x:f t="shared" si="9"/>
        <x:v>0</x:v>
      </x:c>
      <x:c r="I33" s="444">
        <x:f t="shared" si="9"/>
        <x:v>0</x:v>
      </x:c>
      <x:c r="J33" s="444">
        <x:f t="shared" si="9"/>
        <x:v>0</x:v>
      </x:c>
      <x:c r="K33" s="444">
        <x:f t="shared" si="9"/>
        <x:v>12000</x:v>
      </x:c>
      <x:c r="L33" s="444">
        <x:f t="shared" si="9"/>
        <x:v>15000</x:v>
      </x:c>
      <x:c r="M33" s="444">
        <x:f t="shared" si="9"/>
        <x:v>0</x:v>
      </x:c>
      <x:c r="N33" s="444">
        <x:f t="shared" si="9"/>
        <x:v>0</x:v>
      </x:c>
      <x:c r="O33" s="444">
        <x:f t="shared" si="9"/>
        <x:v>12000</x:v>
      </x:c>
      <x:c r="P33" s="444">
        <x:f>SUM(D33:O33)</x:f>
        <x:v>51000</x:v>
      </x:c>
      <x:c r="Q33" s="661"/>
    </x:row>
    <x:row r="34" spans="2:17" s="158" customFormat="1">
      <x:c r="B34" s="780"/>
      <x:c r="C34" s="580" t="s">
        <x:v>585</x:v>
      </x:c>
      <x:c r="D34" s="444">
        <x:v>0</x:v>
      </x:c>
      <x:c r="E34" s="444">
        <x:v>0</x:v>
      </x:c>
      <x:c r="F34" s="444">
        <x:v>0</x:v>
      </x:c>
      <x:c r="G34" s="444">
        <x:v>12000</x:v>
      </x:c>
      <x:c r="H34" s="444">
        <x:v>0</x:v>
      </x:c>
      <x:c r="I34" s="444">
        <x:v>0</x:v>
      </x:c>
      <x:c r="J34" s="444">
        <x:v>0</x:v>
      </x:c>
      <x:c r="K34" s="444">
        <x:v>12000</x:v>
      </x:c>
      <x:c r="L34" s="444">
        <x:v>0</x:v>
      </x:c>
      <x:c r="M34" s="444">
        <x:v>0</x:v>
      </x:c>
      <x:c r="N34" s="444">
        <x:v>0</x:v>
      </x:c>
      <x:c r="O34" s="444">
        <x:v>12000</x:v>
      </x:c>
      <x:c r="P34" s="444">
        <x:f>SUM(D34:O34)</x:f>
        <x:v>36000</x:v>
      </x:c>
      <x:c r="Q34" s="661" t="s">
        <x:v>865</x:v>
      </x:c>
    </x:row>
    <x:row r="35" spans="2:17" s="158" customFormat="1">
      <x:c r="B35" s="780"/>
      <x:c r="C35" s="580" t="s">
        <x:v>541</x:v>
      </x:c>
      <x:c r="D35" s="444"/>
      <x:c r="E35" s="444"/>
      <x:c r="F35" s="444"/>
      <x:c r="G35" s="444"/>
      <x:c r="H35" s="444"/>
      <x:c r="I35" s="444"/>
      <x:c r="J35" s="444"/>
      <x:c r="K35" s="444"/>
      <x:c r="L35" s="444">
        <x:v>15000</x:v>
      </x:c>
      <x:c r="M35" s="444"/>
      <x:c r="N35" s="444"/>
      <x:c r="O35" s="444"/>
      <x:c r="P35" s="444">
        <x:f>SUM(D35:O35)</x:f>
        <x:v>15000</x:v>
      </x:c>
      <x:c r="Q35" s="661" t="s">
        <x:v>864</x:v>
      </x:c>
    </x:row>
    <x:row r="38" spans="2:17" ht="31.5">
      <x:c r="B38" s="26" t="s">
        <x:v>841</x:v>
      </x:c>
      <x:c r="C38" s="26"/>
      <x:c r="D38" s="26"/>
    </x:row>
    <x:row r="39" spans="2:17" ht="2.4500000000000002" customHeight="1">
      <x:c r="B39" s="29"/>
      <x:c r="C39" s="29"/>
      <x:c r="D39" s="29"/>
      <x:c r="E39" s="29"/>
      <x:c r="F39" s="29"/>
      <x:c r="G39" s="29"/>
    </x:row>
    <x:row r="40" spans="2:17" ht="7.9" customHeight="1"/>
    <x:row r="41" spans="2:17" s="158" customFormat="1">
      <x:c r="B41" s="1356" t="s">
        <x:v>1168</x:v>
      </x:c>
      <x:c r="C41" s="1357"/>
      <x:c r="D41" s="495" t="s">
        <x:v>169</x:v>
      </x:c>
      <x:c r="E41" s="495" t="s">
        <x:v>170</x:v>
      </x:c>
      <x:c r="F41" s="495" t="s">
        <x:v>171</x:v>
      </x:c>
      <x:c r="G41" s="495" t="s">
        <x:v>172</x:v>
      </x:c>
      <x:c r="H41" s="495" t="s">
        <x:v>173</x:v>
      </x:c>
      <x:c r="I41" s="495" t="s">
        <x:v>174</x:v>
      </x:c>
      <x:c r="J41" s="495" t="s">
        <x:v>175</x:v>
      </x:c>
      <x:c r="K41" s="495" t="s">
        <x:v>176</x:v>
      </x:c>
      <x:c r="L41" s="495" t="s">
        <x:v>177</x:v>
      </x:c>
      <x:c r="M41" s="495" t="s">
        <x:v>178</x:v>
      </x:c>
      <x:c r="N41" s="495" t="s">
        <x:v>179</x:v>
      </x:c>
      <x:c r="O41" s="495" t="s">
        <x:v>180</x:v>
      </x:c>
      <x:c r="P41" s="690" t="s">
        <x:v>524</x:v>
      </x:c>
      <x:c r="Q41" s="468" t="s">
        <x:v>208</x:v>
      </x:c>
    </x:row>
    <x:row r="42" spans="2:17">
      <x:c r="B42" s="1358" t="s">
        <x:v>1167</x:v>
      </x:c>
      <x:c r="C42" s="1358"/>
      <x:c r="D42" s="646">
        <x:f>SUM(D43:D45)</x:f>
        <x:v>68009.101999999999</x:v>
      </x:c>
      <x:c r="E42" s="646">
        <x:f t="shared" ref="E42:O42" si="10">SUM(E43:E45)</x:f>
        <x:v>42435.597999999998</x:v>
      </x:c>
      <x:c r="F42" s="646">
        <x:f t="shared" si="10"/>
        <x:v>46000</x:v>
      </x:c>
      <x:c r="G42" s="646">
        <x:f t="shared" si="10"/>
        <x:v>75015.695999999996</x:v>
      </x:c>
      <x:c r="H42" s="646">
        <x:f t="shared" si="10"/>
        <x:v>83792.449999999983</x:v>
      </x:c>
      <x:c r="I42" s="646">
        <x:f t="shared" si="10"/>
        <x:v>0</x:v>
      </x:c>
      <x:c r="J42" s="646">
        <x:f t="shared" si="10"/>
        <x:v>200000</x:v>
      </x:c>
      <x:c r="K42" s="646">
        <x:f t="shared" si="10"/>
        <x:v>267305.924</x:v>
      </x:c>
      <x:c r="L42" s="646">
        <x:f t="shared" si="10"/>
        <x:v>362154.17</x:v>
      </x:c>
      <x:c r="M42" s="646">
        <x:f t="shared" si="10"/>
        <x:v>151679.86199999999</x:v>
      </x:c>
      <x:c r="N42" s="646">
        <x:f t="shared" si="10"/>
        <x:v>47196.05799999999</x:v>
      </x:c>
      <x:c r="O42" s="646">
        <x:f t="shared" si="10"/>
        <x:v>23000</x:v>
      </x:c>
      <x:c r="P42" s="546">
        <x:f>SUM(D42:O42)</x:f>
        <x:v>1366588.8599999999</x:v>
      </x:c>
      <x:c r="Q42" s="513"/>
    </x:row>
    <x:row r="43" spans="2:17">
      <x:c r="B43" s="439"/>
      <x:c r="C43" s="625" t="s">
        <x:v>505</x:v>
      </x:c>
      <x:c r="D43" s="447"/>
      <x:c r="E43" s="447"/>
      <x:c r="F43" s="447"/>
      <x:c r="G43" s="447"/>
      <x:c r="H43" s="447"/>
      <x:c r="I43" s="447"/>
      <x:c r="J43" s="447">
        <x:f>I48</x:f>
        <x:v>200000</x:v>
      </x:c>
      <x:c r="K43" s="447">
        <x:f>I71</x:f>
        <x:v>200000</x:v>
      </x:c>
      <x:c r="L43" s="447">
        <x:f>I49</x:f>
        <x:v>362154.17</x:v>
      </x:c>
      <x:c r="M43" s="447"/>
      <x:c r="N43" s="447"/>
      <x:c r="O43" s="447"/>
      <x:c r="P43" s="447">
        <x:f>SUM(D43:O43)</x:f>
        <x:v>762154.16999999993</x:v>
      </x:c>
      <x:c r="Q43" s="513"/>
    </x:row>
    <x:row r="44" spans="2:17">
      <x:c r="B44" s="439"/>
      <x:c r="C44" s="777" t="s">
        <x:v>869</x:v>
      </x:c>
      <x:c r="D44" s="447">
        <x:f>I52+I72</x:f>
        <x:v>48573.504000000001</x:v>
      </x:c>
      <x:c r="E44" s="447">
        <x:f>I67</x:f>
        <x:v>23000</x:v>
      </x:c>
      <x:c r="F44" s="447">
        <x:f>I69+I70</x:f>
        <x:v>46000</x:v>
      </x:c>
      <x:c r="G44" s="447">
        <x:f>I54</x:f>
        <x:v>39625.095999999998</x:v>
      </x:c>
      <x:c r="H44" s="447">
        <x:f>I58</x:f>
        <x:v>30551.163999999997</x:v>
      </x:c>
      <x:c r="I44" s="447"/>
      <x:c r="J44" s="447"/>
      <x:c r="K44" s="447">
        <x:f>I59</x:f>
        <x:v>20540.883999999998</x:v>
      </x:c>
      <x:c r="L44" s="447"/>
      <x:c r="M44" s="447">
        <x:f>I60</x:f>
        <x:v>30444.497999999996</x:v>
      </x:c>
      <x:c r="N44" s="447"/>
      <x:c r="O44" s="447">
        <x:f>I68</x:f>
        <x:v>23000</x:v>
      </x:c>
      <x:c r="P44" s="447">
        <x:f t="shared" ref="P44" si="11">SUM(D44:O44)</x:f>
        <x:v>261735.14599999998</x:v>
      </x:c>
      <x:c r="Q44" s="513"/>
    </x:row>
    <x:row r="45" spans="2:17">
      <x:c r="B45" s="439"/>
      <x:c r="C45" s="777" t="s">
        <x:v>506</x:v>
      </x:c>
      <x:c r="D45" s="447">
        <x:f>I53</x:f>
        <x:v>19435.597999999998</x:v>
      </x:c>
      <x:c r="E45" s="447">
        <x:f>I53</x:f>
        <x:v>19435.597999999998</x:v>
      </x:c>
      <x:c r="F45" s="447"/>
      <x:c r="G45" s="447">
        <x:f>I55</x:f>
        <x:v>35390.6</x:v>
      </x:c>
      <x:c r="H45" s="447">
        <x:f>I56+I57</x:f>
        <x:v>53241.285999999993</x:v>
      </x:c>
      <x:c r="I45" s="447"/>
      <x:c r="J45" s="447"/>
      <x:c r="K45" s="447">
        <x:f>I73+I74</x:f>
        <x:v>46765.039999999994</x:v>
      </x:c>
      <x:c r="L45" s="447"/>
      <x:c r="M45" s="447">
        <x:f>I61+I62+I64+I65+I66</x:f>
        <x:v>121235.364</x:v>
      </x:c>
      <x:c r="N45" s="447">
        <x:f>I50+I51</x:f>
        <x:v>47196.05799999999</x:v>
      </x:c>
      <x:c r="O45" s="447"/>
      <x:c r="P45" s="447">
        <x:f>SUM(D45:O45)</x:f>
        <x:v>342699.54399999999</x:v>
      </x:c>
      <x:c r="Q45" s="513"/>
    </x:row>
    <x:row r="46" spans="2:17">
      <x:c r="C46" s="188"/>
      <x:c r="D46" s="188"/>
      <x:c r="E46" s="188"/>
      <x:c r="F46" s="188"/>
      <x:c r="G46" s="188"/>
      <x:c r="H46" s="188"/>
      <x:c r="I46" s="188"/>
      <x:c r="J46" s="188"/>
      <x:c r="K46" s="188"/>
      <x:c r="L46" s="188"/>
      <x:c r="M46" s="188"/>
      <x:c r="N46" s="188"/>
      <x:c r="O46" s="188"/>
      <x:c r="P46" s="187"/>
      <x:c r="Q46" s="187"/>
    </x:row>
    <x:row r="47" spans="2:17" ht="49.15" customHeight="1">
      <x:c r="C47" s="663" t="s">
        <x:v>468</x:v>
      </x:c>
      <x:c r="D47" s="663" t="s">
        <x:v>469</x:v>
      </x:c>
      <x:c r="E47" s="663" t="s">
        <x:v>842</x:v>
      </x:c>
      <x:c r="F47" s="663" t="s">
        <x:v>843</x:v>
      </x:c>
      <x:c r="G47" s="663" t="s">
        <x:v>844</x:v>
      </x:c>
      <x:c r="H47" s="663" t="s">
        <x:v>845</x:v>
      </x:c>
      <x:c r="I47" s="663" t="s">
        <x:v>846</x:v>
      </x:c>
      <x:c r="J47" s="663" t="s">
        <x:v>847</x:v>
      </x:c>
      <x:c r="K47" s="663" t="s">
        <x:v>870</x:v>
      </x:c>
      <x:c r="L47" s="187"/>
      <x:c r="M47" s="187"/>
      <x:c r="N47" s="187"/>
      <x:c r="O47" s="187"/>
      <x:c r="P47" s="187"/>
      <x:c r="Q47" s="187"/>
    </x:row>
    <x:row r="48" spans="2:17">
      <x:c r="C48" s="727" t="s">
        <x:v>858</x:v>
      </x:c>
      <x:c r="D48" s="592" t="s">
        <x:v>236</x:v>
      </x:c>
      <x:c r="E48" s="652">
        <x:v>44743</x:v>
      </x:c>
      <x:c r="F48" s="652">
        <x:v>45867</x:v>
      </x:c>
      <x:c r="G48" s="652">
        <x:v>46232</x:v>
      </x:c>
      <x:c r="H48" s="689">
        <x:v>80000</x:v>
      </x:c>
      <x:c r="I48" s="689">
        <x:v>200000</x:v>
      </x:c>
      <x:c r="J48" s="652" t="s">
        <x:v>868</x:v>
      </x:c>
      <x:c r="K48" s="556" t="s">
        <x:v>505</x:v>
      </x:c>
      <x:c r="L48" s="187"/>
      <x:c r="M48" s="187"/>
      <x:c r="N48" s="187"/>
      <x:c r="O48" s="187"/>
      <x:c r="P48" s="187"/>
      <x:c r="Q48" s="187"/>
    </x:row>
    <x:row r="49" spans="3:11">
      <x:c r="C49" s="727" t="s">
        <x:v>854</x:v>
      </x:c>
      <x:c r="D49" s="592" t="s">
        <x:v>855</x:v>
      </x:c>
      <x:c r="E49" s="652">
        <x:v>45474</x:v>
      </x:c>
      <x:c r="F49" s="652">
        <x:v>45902</x:v>
      </x:c>
      <x:c r="G49" s="652">
        <x:v>46267</x:v>
      </x:c>
      <x:c r="H49" s="689">
        <x:v>258681.55</x:v>
      </x:c>
      <x:c r="I49" s="689">
        <x:f>258681.55*1.4</x:f>
        <x:v>362154.17</x:v>
      </x:c>
      <x:c r="J49" s="652" t="s">
        <x:v>856</x:v>
      </x:c>
      <x:c r="K49" s="556" t="s">
        <x:v>505</x:v>
      </x:c>
    </x:row>
    <x:row r="50" spans="3:11">
      <x:c r="C50" s="727" t="s">
        <x:v>814</x:v>
      </x:c>
      <x:c r="D50" s="592" t="s">
        <x:v>815</x:v>
      </x:c>
      <x:c r="E50" s="652">
        <x:v>45883</x:v>
      </x:c>
      <x:c r="F50" s="652">
        <x:v>45623</x:v>
      </x:c>
      <x:c r="G50" s="652">
        <x:v>45988</x:v>
      </x:c>
      <x:c r="H50" s="689">
        <x:v>16701.8</x:v>
      </x:c>
      <x:c r="I50" s="689">
        <x:f>16701.8*1.4</x:f>
        <x:v>23382.519999999997</x:v>
      </x:c>
      <x:c r="J50" s="652" t="s">
        <x:v>848</x:v>
      </x:c>
      <x:c r="K50" s="556" t="s">
        <x:v>506</x:v>
      </x:c>
    </x:row>
    <x:row r="51" spans="3:11">
      <x:c r="C51" s="727" t="s">
        <x:v>809</x:v>
      </x:c>
      <x:c r="D51" s="592" t="s">
        <x:v>247</x:v>
      </x:c>
      <x:c r="E51" s="652">
        <x:v>45883</x:v>
      </x:c>
      <x:c r="F51" s="652">
        <x:v>45625</x:v>
      </x:c>
      <x:c r="G51" s="652">
        <x:v>45990</x:v>
      </x:c>
      <x:c r="H51" s="689">
        <x:v>17009.669999999998</x:v>
      </x:c>
      <x:c r="I51" s="689">
        <x:f>17009.67*1.4</x:f>
        <x:v>23813.537999999997</x:v>
      </x:c>
      <x:c r="J51" s="652" t="s">
        <x:v>848</x:v>
      </x:c>
      <x:c r="K51" s="556" t="s">
        <x:v>506</x:v>
      </x:c>
    </x:row>
    <x:row r="52" spans="3:11">
      <x:c r="C52" s="727" t="s">
        <x:v>778</x:v>
      </x:c>
      <x:c r="D52" s="592" t="s">
        <x:v>779</x:v>
      </x:c>
      <x:c r="E52" s="652">
        <x:v>45544</x:v>
      </x:c>
      <x:c r="F52" s="652">
        <x:v>45674</x:v>
      </x:c>
      <x:c r="G52" s="652">
        <x:v>46039</x:v>
      </x:c>
      <x:c r="H52" s="689">
        <x:v>17993.560000000001</x:v>
      </x:c>
      <x:c r="I52" s="689">
        <x:f>17993.56*1.4</x:f>
        <x:v>25190.984</x:v>
      </x:c>
      <x:c r="J52" s="652" t="s">
        <x:v>849</x:v>
      </x:c>
      <x:c r="K52" s="556" t="s">
        <x:v>869</x:v>
      </x:c>
    </x:row>
    <x:row r="53" spans="3:11">
      <x:c r="C53" s="727" t="s">
        <x:v>801</x:v>
      </x:c>
      <x:c r="D53" s="592" t="s">
        <x:v>802</x:v>
      </x:c>
      <x:c r="E53" s="652">
        <x:v>45597</x:v>
      </x:c>
      <x:c r="F53" s="652">
        <x:v>45691</x:v>
      </x:c>
      <x:c r="G53" s="652">
        <x:v>46056</x:v>
      </x:c>
      <x:c r="H53" s="689">
        <x:v>13882.57</x:v>
      </x:c>
      <x:c r="I53" s="689">
        <x:f>13882.57*1.4</x:f>
        <x:v>19435.597999999998</x:v>
      </x:c>
      <x:c r="J53" s="652" t="s">
        <x:v>850</x:v>
      </x:c>
      <x:c r="K53" s="556" t="s">
        <x:v>506</x:v>
      </x:c>
    </x:row>
    <x:row r="54" spans="3:11">
      <x:c r="C54" s="727" t="s">
        <x:v>773</x:v>
      </x:c>
      <x:c r="D54" s="592" t="s">
        <x:v>242</x:v>
      </x:c>
      <x:c r="E54" s="652">
        <x:v>44769</x:v>
      </x:c>
      <x:c r="F54" s="652">
        <x:v>45771</x:v>
      </x:c>
      <x:c r="G54" s="652">
        <x:v>46136</x:v>
      </x:c>
      <x:c r="H54" s="689">
        <x:v>28303.64</x:v>
      </x:c>
      <x:c r="I54" s="689">
        <x:f>28303.64*1.4</x:f>
        <x:v>39625.095999999998</x:v>
      </x:c>
      <x:c r="J54" s="652" t="s">
        <x:v>851</x:v>
      </x:c>
      <x:c r="K54" s="556" t="s">
        <x:v>869</x:v>
      </x:c>
    </x:row>
    <x:row r="55" spans="3:11">
      <x:c r="C55" s="727" t="s">
        <x:v>782</x:v>
      </x:c>
      <x:c r="D55" s="592" t="s">
        <x:v>242</x:v>
      </x:c>
      <x:c r="E55" s="652">
        <x:v>44823</x:v>
      </x:c>
      <x:c r="F55" s="652">
        <x:v>45773</x:v>
      </x:c>
      <x:c r="G55" s="652">
        <x:v>46138</x:v>
      </x:c>
      <x:c r="H55" s="689">
        <x:v>25279</x:v>
      </x:c>
      <x:c r="I55" s="689">
        <x:f>25279*1.4</x:f>
        <x:v>35390.6</x:v>
      </x:c>
      <x:c r="J55" s="652" t="s">
        <x:v>851</x:v>
      </x:c>
      <x:c r="K55" s="556" t="s">
        <x:v>506</x:v>
      </x:c>
    </x:row>
    <x:row r="56" spans="3:11">
      <x:c r="C56" s="727" t="s">
        <x:v>792</x:v>
      </x:c>
      <x:c r="D56" s="592" t="s">
        <x:v>793</x:v>
      </x:c>
      <x:c r="E56" s="652">
        <x:v>45630</x:v>
      </x:c>
      <x:c r="F56" s="652">
        <x:v>45790</x:v>
      </x:c>
      <x:c r="G56" s="652">
        <x:v>46155</x:v>
      </x:c>
      <x:c r="H56" s="689">
        <x:v>18983.009999999998</x:v>
      </x:c>
      <x:c r="I56" s="633">
        <x:f>18983.01*1.4</x:f>
        <x:v>26576.213999999996</x:v>
      </x:c>
      <x:c r="J56" s="652" t="s">
        <x:v>852</x:v>
      </x:c>
      <x:c r="K56" s="556" t="s">
        <x:v>506</x:v>
      </x:c>
    </x:row>
    <x:row r="57" spans="3:11">
      <x:c r="C57" s="727" t="s">
        <x:v>798</x:v>
      </x:c>
      <x:c r="D57" s="592" t="s">
        <x:v>793</x:v>
      </x:c>
      <x:c r="E57" s="652">
        <x:v>45635</x:v>
      </x:c>
      <x:c r="F57" s="652">
        <x:v>45790</x:v>
      </x:c>
      <x:c r="G57" s="652">
        <x:v>46155</x:v>
      </x:c>
      <x:c r="H57" s="689">
        <x:v>19046.48</x:v>
      </x:c>
      <x:c r="I57" s="633">
        <x:f>19046.48*1.4</x:f>
        <x:v>26665.071999999996</x:v>
      </x:c>
      <x:c r="J57" s="652" t="s">
        <x:v>852</x:v>
      </x:c>
      <x:c r="K57" s="556" t="s">
        <x:v>506</x:v>
      </x:c>
    </x:row>
    <x:row r="58" spans="3:11">
      <x:c r="C58" s="727" t="s">
        <x:v>820</x:v>
      </x:c>
      <x:c r="D58" s="592" t="s">
        <x:v>247</x:v>
      </x:c>
      <x:c r="E58" s="652">
        <x:v>45323</x:v>
      </x:c>
      <x:c r="F58" s="652">
        <x:v>45804</x:v>
      </x:c>
      <x:c r="G58" s="652">
        <x:v>46169</x:v>
      </x:c>
      <x:c r="H58" s="689">
        <x:v>21822.26</x:v>
      </x:c>
      <x:c r="I58" s="633">
        <x:f>21822.26*1.4</x:f>
        <x:v>30551.163999999997</x:v>
      </x:c>
      <x:c r="J58" s="652" t="s">
        <x:v>852</x:v>
      </x:c>
      <x:c r="K58" s="556" t="s">
        <x:v>869</x:v>
      </x:c>
    </x:row>
    <x:row r="59" spans="3:11">
      <x:c r="C59" s="727" t="s">
        <x:v>831</x:v>
      </x:c>
      <x:c r="D59" s="592" t="s">
        <x:v>779</x:v>
      </x:c>
      <x:c r="E59" s="652">
        <x:v>45726</x:v>
      </x:c>
      <x:c r="F59" s="652">
        <x:v>45888</x:v>
      </x:c>
      <x:c r="G59" s="652">
        <x:v>46253</x:v>
      </x:c>
      <x:c r="H59" s="689">
        <x:v>14672.06</x:v>
      </x:c>
      <x:c r="I59" s="633">
        <x:f>14672.06*1.4</x:f>
        <x:v>20540.883999999998</x:v>
      </x:c>
      <x:c r="J59" s="652" t="s">
        <x:v>853</x:v>
      </x:c>
      <x:c r="K59" s="556" t="s">
        <x:v>869</x:v>
      </x:c>
    </x:row>
    <x:row r="60" spans="3:11">
      <x:c r="C60" s="727" t="s">
        <x:v>824</x:v>
      </x:c>
      <x:c r="D60" s="592" t="s">
        <x:v>802</x:v>
      </x:c>
      <x:c r="E60" s="652">
        <x:v>45824</x:v>
      </x:c>
      <x:c r="F60" s="652">
        <x:v>45932</x:v>
      </x:c>
      <x:c r="G60" s="652">
        <x:v>46297</x:v>
      </x:c>
      <x:c r="H60" s="689">
        <x:v>21746.07</x:v>
      </x:c>
      <x:c r="I60" s="633">
        <x:f>21746.07*1.4</x:f>
        <x:v>30444.497999999996</x:v>
      </x:c>
      <x:c r="J60" s="652" t="s">
        <x:v>653</x:v>
      </x:c>
      <x:c r="K60" s="556" t="s">
        <x:v>869</x:v>
      </x:c>
    </x:row>
    <x:row r="61" spans="3:11">
      <x:c r="C61" s="727" t="s">
        <x:v>818</x:v>
      </x:c>
      <x:c r="D61" s="592" t="s">
        <x:v>819</x:v>
      </x:c>
      <x:c r="E61" s="652">
        <x:v>45827</x:v>
      </x:c>
      <x:c r="F61" s="652">
        <x:v>45932</x:v>
      </x:c>
      <x:c r="G61" s="652">
        <x:v>46297</x:v>
      </x:c>
      <x:c r="H61" s="689">
        <x:v>9751.66</x:v>
      </x:c>
      <x:c r="I61" s="633">
        <x:f>9751.66*1.4</x:f>
        <x:v>13652.323999999999</x:v>
      </x:c>
      <x:c r="J61" s="652" t="s">
        <x:v>653</x:v>
      </x:c>
      <x:c r="K61" s="556" t="s">
        <x:v>506</x:v>
      </x:c>
    </x:row>
    <x:row r="62" spans="3:11">
      <x:c r="C62" s="727" t="s">
        <x:v>812</x:v>
      </x:c>
      <x:c r="D62" s="592" t="s">
        <x:v>802</x:v>
      </x:c>
      <x:c r="E62" s="652">
        <x:v>45446</x:v>
      </x:c>
      <x:c r="F62" s="652">
        <x:v>45939</x:v>
      </x:c>
      <x:c r="G62" s="652">
        <x:v>46304</x:v>
      </x:c>
      <x:c r="H62" s="689">
        <x:v>21441.33</x:v>
      </x:c>
      <x:c r="I62" s="633">
        <x:f>21441.33*1.4</x:f>
        <x:v>30017.862000000001</x:v>
      </x:c>
      <x:c r="J62" s="652" t="s">
        <x:v>653</x:v>
      </x:c>
      <x:c r="K62" s="556" t="s">
        <x:v>506</x:v>
      </x:c>
    </x:row>
    <x:row r="63" spans="3:11">
      <x:c r="C63" s="727" t="s">
        <x:v>857</x:v>
      </x:c>
      <x:c r="D63" s="592" t="s">
        <x:v>802</x:v>
      </x:c>
      <x:c r="E63" s="652">
        <x:v>45474</x:v>
      </x:c>
      <x:c r="F63" s="652">
        <x:v>45948</x:v>
      </x:c>
      <x:c r="G63" s="652">
        <x:v>46313</x:v>
      </x:c>
      <x:c r="H63" s="689">
        <x:v>40839.9</x:v>
      </x:c>
      <x:c r="I63" s="633" t="s">
        <x:v>574</x:v>
      </x:c>
      <x:c r="J63" s="652" t="s">
        <x:v>574</x:v>
      </x:c>
      <x:c r="K63" s="556" t="s">
        <x:v>869</x:v>
      </x:c>
    </x:row>
    <x:row r="64" spans="3:11">
      <x:c r="C64" s="727" t="s">
        <x:v>808</x:v>
      </x:c>
      <x:c r="D64" s="592" t="s">
        <x:v>802</x:v>
      </x:c>
      <x:c r="E64" s="652">
        <x:v>45908</x:v>
      </x:c>
      <x:c r="F64" s="652">
        <x:v>45954</x:v>
      </x:c>
      <x:c r="G64" s="652">
        <x:v>46319</x:v>
      </x:c>
      <x:c r="H64" s="689">
        <x:v>27771.599999999999</x:v>
      </x:c>
      <x:c r="I64" s="633">
        <x:f>27771.6*1.4</x:f>
        <x:v>38880.239999999998</x:v>
      </x:c>
      <x:c r="J64" s="652" t="s">
        <x:v>653</x:v>
      </x:c>
      <x:c r="K64" s="556" t="s">
        <x:v>506</x:v>
      </x:c>
    </x:row>
    <x:row r="65" spans="3:11">
      <x:c r="C65" s="727" t="s">
        <x:v>788</x:v>
      </x:c>
      <x:c r="D65" s="592" t="s">
        <x:v>779</x:v>
      </x:c>
      <x:c r="E65" s="652">
        <x:v>45841</x:v>
      </x:c>
      <x:c r="F65" s="652">
        <x:v>45954</x:v>
      </x:c>
      <x:c r="G65" s="652">
        <x:v>46319</x:v>
      </x:c>
      <x:c r="H65" s="689">
        <x:v>18791.87</x:v>
      </x:c>
      <x:c r="I65" s="633">
        <x:f>18791.87*1.4</x:f>
        <x:v>26308.617999999999</x:v>
      </x:c>
      <x:c r="J65" s="652" t="s">
        <x:v>653</x:v>
      </x:c>
      <x:c r="K65" s="556" t="s">
        <x:v>506</x:v>
      </x:c>
    </x:row>
    <x:row r="66" spans="3:11">
      <x:c r="C66" s="727" t="s">
        <x:v>797</x:v>
      </x:c>
      <x:c r="D66" s="592" t="s">
        <x:v>793</x:v>
      </x:c>
      <x:c r="E66" s="652">
        <x:v>45834</x:v>
      </x:c>
      <x:c r="F66" s="652">
        <x:v>45954</x:v>
      </x:c>
      <x:c r="G66" s="652">
        <x:v>46319</x:v>
      </x:c>
      <x:c r="H66" s="689">
        <x:v>12376.32</x:v>
      </x:c>
      <x:c r="I66" s="633">
        <x:v>12376.32</x:v>
      </x:c>
      <x:c r="J66" s="652" t="s">
        <x:v>653</x:v>
      </x:c>
      <x:c r="K66" s="556" t="s">
        <x:v>506</x:v>
      </x:c>
    </x:row>
    <x:row r="67" spans="3:11">
      <x:c r="C67" s="727" t="s">
        <x:v>827</x:v>
      </x:c>
      <x:c r="D67" s="592" t="s">
        <x:v>819</x:v>
      </x:c>
      <x:c r="E67" s="652">
        <x:v>45978</x:v>
      </x:c>
      <x:c r="F67" s="652">
        <x:f>E67+90</x:f>
        <x:v>46068</x:v>
      </x:c>
      <x:c r="G67" s="652" t="s">
        <x:v>574</x:v>
      </x:c>
      <x:c r="H67" s="652" t="s">
        <x:v>574</x:v>
      </x:c>
      <x:c r="I67" s="633">
        <x:v>23000</x:v>
      </x:c>
      <x:c r="J67" s="652" t="s">
        <x:v>850</x:v>
      </x:c>
      <x:c r="K67" s="556" t="s">
        <x:v>869</x:v>
      </x:c>
    </x:row>
    <x:row r="68" spans="3:11">
      <x:c r="C68" s="727" t="s">
        <x:v>859</x:v>
      </x:c>
      <x:c r="D68" s="592" t="s">
        <x:v>860</x:v>
      </x:c>
      <x:c r="E68" s="652">
        <x:v>45917</x:v>
      </x:c>
      <x:c r="F68" s="652">
        <x:f>E68+90</x:f>
        <x:v>46007</x:v>
      </x:c>
      <x:c r="G68" s="652" t="s">
        <x:v>574</x:v>
      </x:c>
      <x:c r="H68" s="652" t="s">
        <x:v>574</x:v>
      </x:c>
      <x:c r="I68" s="633">
        <x:v>23000</x:v>
      </x:c>
      <x:c r="J68" s="652" t="s">
        <x:v>861</x:v>
      </x:c>
      <x:c r="K68" s="556" t="s">
        <x:v>869</x:v>
      </x:c>
    </x:row>
    <x:row r="69" spans="3:11">
      <x:c r="C69" s="735" t="s">
        <x:v>862</x:v>
      </x:c>
      <x:c r="D69" s="735" t="s">
        <x:v>462</x:v>
      </x:c>
      <x:c r="E69" s="450" t="s">
        <x:v>861</x:v>
      </x:c>
      <x:c r="F69" s="450">
        <x:v>46082</x:v>
      </x:c>
      <x:c r="G69" s="450" t="s">
        <x:v>574</x:v>
      </x:c>
      <x:c r="H69" s="450" t="s">
        <x:v>574</x:v>
      </x:c>
      <x:c r="I69" s="602">
        <x:v>23000</x:v>
      </x:c>
      <x:c r="J69" s="450" t="s">
        <x:v>863</x:v>
      </x:c>
      <x:c r="K69" s="509" t="s">
        <x:v>869</x:v>
      </x:c>
    </x:row>
    <x:row r="70" spans="3:11">
      <x:c r="C70" s="735" t="s">
        <x:v>862</x:v>
      </x:c>
      <x:c r="D70" s="735" t="s">
        <x:v>462</x:v>
      </x:c>
      <x:c r="E70" s="450" t="s">
        <x:v>861</x:v>
      </x:c>
      <x:c r="F70" s="450">
        <x:v>46082</x:v>
      </x:c>
      <x:c r="G70" s="450" t="s">
        <x:v>574</x:v>
      </x:c>
      <x:c r="H70" s="450" t="s">
        <x:v>574</x:v>
      </x:c>
      <x:c r="I70" s="602">
        <x:v>23000</x:v>
      </x:c>
      <x:c r="J70" s="450" t="s">
        <x:v>863</x:v>
      </x:c>
      <x:c r="K70" s="509" t="s">
        <x:v>869</x:v>
      </x:c>
    </x:row>
    <x:row r="71" spans="3:11">
      <x:c r="C71" s="735" t="s">
        <x:v>862</x:v>
      </x:c>
      <x:c r="D71" s="735" t="s">
        <x:v>988</x:v>
      </x:c>
      <x:c r="E71" s="450" t="s">
        <x:v>989</x:v>
      </x:c>
      <x:c r="F71" s="450">
        <x:v>46264</x:v>
      </x:c>
      <x:c r="G71" s="450" t="s">
        <x:v>989</x:v>
      </x:c>
      <x:c r="H71" s="450" t="s">
        <x:v>574</x:v>
      </x:c>
      <x:c r="I71" s="602">
        <x:f>I48</x:f>
        <x:v>200000</x:v>
      </x:c>
      <x:c r="J71" s="450" t="s">
        <x:v>989</x:v>
      </x:c>
      <x:c r="K71" s="509" t="s">
        <x:v>505</x:v>
      </x:c>
    </x:row>
    <x:row r="72" spans="3:11">
      <x:c r="C72" s="433" t="s">
        <x:v>862</x:v>
      </x:c>
      <x:c r="D72" s="433" t="s">
        <x:v>453</x:v>
      </x:c>
      <x:c r="E72" s="433" t="s">
        <x:v>989</x:v>
      </x:c>
      <x:c r="F72" s="450">
        <x:v>46052</x:v>
      </x:c>
      <x:c r="G72" s="433" t="s">
        <x:v>989</x:v>
      </x:c>
      <x:c r="H72" s="450" t="s">
        <x:v>574</x:v>
      </x:c>
      <x:c r="I72" s="602">
        <x:f>$I$50</x:f>
        <x:v>23382.519999999997</x:v>
      </x:c>
      <x:c r="J72" s="450" t="s">
        <x:v>989</x:v>
      </x:c>
      <x:c r="K72" s="509" t="s">
        <x:v>869</x:v>
      </x:c>
    </x:row>
    <x:row r="73" spans="3:11">
      <x:c r="C73" s="433" t="s">
        <x:v>862</x:v>
      </x:c>
      <x:c r="D73" s="433" t="s">
        <x:v>251</x:v>
      </x:c>
      <x:c r="E73" s="433" t="s">
        <x:v>989</x:v>
      </x:c>
      <x:c r="F73" s="450">
        <x:v>46264</x:v>
      </x:c>
      <x:c r="G73" s="433" t="s">
        <x:v>989</x:v>
      </x:c>
      <x:c r="H73" s="450" t="s">
        <x:v>574</x:v>
      </x:c>
      <x:c r="I73" s="602">
        <x:f t="shared" ref="I73:I74" si="12">$I$50</x:f>
        <x:v>23382.519999999997</x:v>
      </x:c>
      <x:c r="J73" s="450" t="s">
        <x:v>989</x:v>
      </x:c>
      <x:c r="K73" s="509" t="s">
        <x:v>506</x:v>
      </x:c>
    </x:row>
    <x:row r="74" spans="3:11">
      <x:c r="C74" s="433" t="s">
        <x:v>862</x:v>
      </x:c>
      <x:c r="D74" s="433" t="s">
        <x:v>251</x:v>
      </x:c>
      <x:c r="E74" s="433" t="s">
        <x:v>989</x:v>
      </x:c>
      <x:c r="F74" s="450">
        <x:v>46264</x:v>
      </x:c>
      <x:c r="G74" s="433" t="s">
        <x:v>989</x:v>
      </x:c>
      <x:c r="H74" s="450" t="s">
        <x:v>574</x:v>
      </x:c>
      <x:c r="I74" s="602">
        <x:f t="shared" si="12"/>
        <x:v>23382.519999999997</x:v>
      </x:c>
      <x:c r="J74" s="450" t="s">
        <x:v>989</x:v>
      </x:c>
      <x:c r="K74" s="509" t="s">
        <x:v>506</x:v>
      </x:c>
    </x:row>
  </x:sheetData>
  <x:autoFilter ref="C47:K70" xr:uid="{1726AF34-3E0D-4A23-BE43-C14681871732}"/>
  <x:mergeCells count="19">
    <x:mergeCell ref="B4:C4"/>
    <x:mergeCell ref="B5:C5"/>
    <x:mergeCell ref="B6:C6"/>
    <x:mergeCell ref="B7:C7"/>
    <x:mergeCell ref="B8:C8"/>
    <x:mergeCell ref="B41:C41"/>
    <x:mergeCell ref="B42:C42"/>
    <x:mergeCell ref="B9:C9"/>
    <x:mergeCell ref="B25:C25"/>
    <x:mergeCell ref="B15:C15"/>
    <x:mergeCell ref="B14:C14"/>
    <x:mergeCell ref="B19:C19"/>
    <x:mergeCell ref="B22:C22"/>
    <x:mergeCell ref="B31:C31"/>
    <x:mergeCell ref="B32:C32"/>
    <x:mergeCell ref="B33:C33"/>
    <x:mergeCell ref="B20:C20"/>
    <x:mergeCell ref="B23:C23"/>
    <x:mergeCell ref="B24:C24"/>
  </x:mergeCells>
  <x:phoneticPr fontId="36" type="noConversion"/>
  <x:pageMargins left="0.7" right="0.7" top="0.75" bottom="0.75" header="0.3" footer="0.3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46B8D6E-E7DE-4627-AEE4-9A7D0CB5B86E}" mc:Ignorable="x14ac xr xr2 xr3">
  <x:sheetPr codeName="Sheet10"/>
  <x:dimension ref="B1:S56"/>
  <x:sheetViews>
    <x:sheetView zoomScale="70" zoomScaleNormal="70" workbookViewId="0">
      <x:selection activeCell="D32" sqref="D32:D33"/>
    </x:sheetView>
  </x:sheetViews>
  <x:sheetFormatPr defaultColWidth="8.75" defaultRowHeight="16.5"/>
  <x:cols>
    <x:col min="1" max="1" width="1.25" style="21" customWidth="1"/>
    <x:col min="2" max="2" width="15.25" style="21" customWidth="1"/>
    <x:col min="3" max="3" width="29.125" style="21" customWidth="1"/>
    <x:col min="4" max="15" width="13.25" style="21" customWidth="1"/>
    <x:col min="16" max="16" width="11" style="21" customWidth="1"/>
    <x:col min="17" max="17" width="16.75" style="21" customWidth="1"/>
    <x:col min="18" max="18" width="19.125" style="21" customWidth="1"/>
    <x:col min="19" max="19" width="37.75" style="21" customWidth="1"/>
    <x:col min="20" max="16384" width="8.75" style="21"/>
  </x:cols>
  <x:sheetData>
    <x:row r="1" spans="2:18" ht="31.5">
      <x:c r="B1" s="26" t="s">
        <x:v>507</x:v>
      </x:c>
      <x:c r="C1" s="26"/>
    </x:row>
    <x:row r="2" spans="2:18" ht="2.4500000000000002" customHeight="1">
      <x:c r="B2" s="29"/>
      <x:c r="C2" s="29"/>
      <x:c r="D2" s="29"/>
      <x:c r="E2" s="29"/>
      <x:c r="F2" s="29"/>
    </x:row>
    <x:row r="3" spans="2:18" ht="7.9" customHeight="1"/>
    <x:row r="4" spans="2:18" ht="24" customHeight="1">
      <x:c r="B4" s="697">
        <x:v>2026</x:v>
      </x:c>
      <x:c r="C4" s="697" t="s">
        <x:v>199</x:v>
      </x:c>
      <x:c r="D4" s="554" t="s">
        <x:v>195</x:v>
      </x:c>
      <x:c r="E4" s="554" t="s">
        <x:v>196</x:v>
      </x:c>
      <x:c r="F4" s="697" t="s">
        <x:v>208</x:v>
      </x:c>
      <x:c r="G4" s="1370" t="s">
        <x:v>208</x:v>
      </x:c>
      <x:c r="H4" s="1370"/>
    </x:row>
    <x:row r="5" spans="2:18" ht="24" customHeight="1">
      <x:c r="B5" s="440" t="s">
        <x:v>1261</x:v>
      </x:c>
      <x:c r="C5" s="440" t="s">
        <x:v>200</x:v>
      </x:c>
      <x:c r="D5" s="671">
        <x:f>11036.72*1.32</x:f>
        <x:v>14568.4704</x:v>
      </x:c>
      <x:c r="E5" s="671">
        <x:f>D5*12</x:f>
        <x:v>174821.64480000001</x:v>
      </x:c>
      <x:c r="F5" s="231" t="s">
        <x:v>206</x:v>
      </x:c>
      <x:c r="G5" s="1371" t="s">
        <x:v>508</x:v>
      </x:c>
      <x:c r="H5" s="1371"/>
    </x:row>
    <x:row r="6" spans="2:18" ht="24" customHeight="1">
      <x:c r="B6" s="1372" t="s">
        <x:v>197</x:v>
      </x:c>
      <x:c r="C6" s="1372" t="s">
        <x:v>201</x:v>
      </x:c>
      <x:c r="D6" s="671">
        <x:v>2200</x:v>
      </x:c>
      <x:c r="E6" s="671">
        <x:f t="shared" ref="E6:E9" si="0">D6*12</x:f>
        <x:v>26400</x:v>
      </x:c>
      <x:c r="F6" s="231" t="s">
        <x:v>202</x:v>
      </x:c>
      <x:c r="G6" s="1371" t="s">
        <x:v>509</x:v>
      </x:c>
      <x:c r="H6" s="1371"/>
    </x:row>
    <x:row r="7" spans="2:18" ht="24" customHeight="1">
      <x:c r="B7" s="1373"/>
      <x:c r="C7" s="1373"/>
      <x:c r="D7" s="671">
        <x:v>2200</x:v>
      </x:c>
      <x:c r="E7" s="671">
        <x:f t="shared" si="0"/>
        <x:v>26400</x:v>
      </x:c>
      <x:c r="F7" s="231" t="s">
        <x:v>203</x:v>
      </x:c>
      <x:c r="G7" s="1371" t="s">
        <x:v>509</x:v>
      </x:c>
      <x:c r="H7" s="1371"/>
    </x:row>
    <x:row r="8" spans="2:18" ht="24" customHeight="1">
      <x:c r="B8" s="1373"/>
      <x:c r="C8" s="1373"/>
      <x:c r="D8" s="671">
        <x:v>905</x:v>
      </x:c>
      <x:c r="E8" s="671">
        <x:f t="shared" si="0"/>
        <x:v>10860</x:v>
      </x:c>
      <x:c r="F8" s="231" t="s">
        <x:v>204</x:v>
      </x:c>
      <x:c r="G8" s="1371" t="s">
        <x:v>510</x:v>
      </x:c>
      <x:c r="H8" s="1371"/>
    </x:row>
    <x:row r="9" spans="2:18" ht="24" customHeight="1">
      <x:c r="B9" s="1374"/>
      <x:c r="C9" s="1374"/>
      <x:c r="D9" s="671">
        <x:v>905</x:v>
      </x:c>
      <x:c r="E9" s="671">
        <x:f t="shared" si="0"/>
        <x:v>10860</x:v>
      </x:c>
      <x:c r="F9" s="231" t="s">
        <x:v>205</x:v>
      </x:c>
      <x:c r="G9" s="1371" t="s">
        <x:v>511</x:v>
      </x:c>
      <x:c r="H9" s="1371"/>
    </x:row>
    <x:row r="10" spans="2:18" ht="24" customHeight="1">
      <x:c r="B10" s="407"/>
      <x:c r="C10" s="787" t="s">
        <x:v>512</x:v>
      </x:c>
      <x:c r="D10" s="671">
        <x:f>SUM(D5:D9)</x:f>
        <x:v>20778.470399999998</x:v>
      </x:c>
      <x:c r="E10" s="671">
        <x:f>SUM(E5:E9)</x:f>
        <x:v>249341.64480000001</x:v>
      </x:c>
      <x:c r="F10" s="231" t="s">
        <x:v>207</x:v>
      </x:c>
      <x:c r="G10" s="1371"/>
      <x:c r="H10" s="1371"/>
    </x:row>
    <x:row r="11" spans="2:18">
      <x:c r="D11" s="22"/>
      <x:c r="E11" s="22"/>
      <x:c r="F11" s="23"/>
    </x:row>
    <x:row r="12" spans="2:18" ht="26.25">
      <x:c r="B12" s="27" t="s">
        <x:v>565</x:v>
      </x:c>
      <x:c r="C12" s="24"/>
    </x:row>
    <x:row r="13" spans="2:18" ht="2.4500000000000002" customHeight="1">
      <x:c r="B13" s="29"/>
      <x:c r="C13" s="29"/>
      <x:c r="D13" s="29"/>
      <x:c r="E13" s="29"/>
      <x:c r="F13" s="29"/>
      <x:c r="G13" s="29"/>
      <x:c r="H13" s="29"/>
    </x:row>
    <x:row r="14" spans="2:18" ht="7.9" customHeight="1"/>
    <x:row r="15" spans="2:18" s="158" customFormat="1" ht="24" customHeight="1">
      <x:c r="B15" s="1360"/>
      <x:c r="C15" s="1360"/>
      <x:c r="D15" s="607" t="s">
        <x:v>513</x:v>
      </x:c>
      <x:c r="E15" s="607" t="s">
        <x:v>514</x:v>
      </x:c>
      <x:c r="F15" s="607" t="s">
        <x:v>515</x:v>
      </x:c>
      <x:c r="G15" s="607" t="s">
        <x:v>516</x:v>
      </x:c>
      <x:c r="H15" s="607" t="s">
        <x:v>173</x:v>
      </x:c>
      <x:c r="I15" s="607" t="s">
        <x:v>517</x:v>
      </x:c>
      <x:c r="J15" s="607" t="s">
        <x:v>518</x:v>
      </x:c>
      <x:c r="K15" s="607" t="s">
        <x:v>519</x:v>
      </x:c>
      <x:c r="L15" s="607" t="s">
        <x:v>520</x:v>
      </x:c>
      <x:c r="M15" s="607" t="s">
        <x:v>521</x:v>
      </x:c>
      <x:c r="N15" s="607" t="s">
        <x:v>522</x:v>
      </x:c>
      <x:c r="O15" s="607" t="s">
        <x:v>523</x:v>
      </x:c>
      <x:c r="P15" s="607" t="s">
        <x:v>524</x:v>
      </x:c>
      <x:c r="Q15" s="554" t="s">
        <x:v>210</x:v>
      </x:c>
      <x:c r="R15" s="554" t="s">
        <x:v>208</x:v>
      </x:c>
    </x:row>
    <x:row r="16" spans="2:18" s="158" customFormat="1" ht="24" customHeight="1">
      <x:c r="B16" s="1359" t="s">
        <x:v>526</x:v>
      </x:c>
      <x:c r="C16" s="1359"/>
      <x:c r="D16" s="534">
        <x:f>SUM(D17:D20)</x:f>
        <x:v>133750</x:v>
      </x:c>
      <x:c r="E16" s="534">
        <x:f t="shared" ref="E16:P16" si="1">SUM(E17:E20)</x:f>
        <x:v>133750</x:v>
      </x:c>
      <x:c r="F16" s="534">
        <x:f t="shared" si="1"/>
        <x:v>133750</x:v>
      </x:c>
      <x:c r="G16" s="534">
        <x:f t="shared" si="1"/>
        <x:v>133750</x:v>
      </x:c>
      <x:c r="H16" s="534">
        <x:f t="shared" si="1"/>
        <x:v>159750</x:v>
      </x:c>
      <x:c r="I16" s="534">
        <x:f t="shared" si="1"/>
        <x:v>159750</x:v>
      </x:c>
      <x:c r="J16" s="534">
        <x:f t="shared" si="1"/>
        <x:v>159750</x:v>
      </x:c>
      <x:c r="K16" s="534">
        <x:f t="shared" si="1"/>
        <x:v>159750</x:v>
      </x:c>
      <x:c r="L16" s="534">
        <x:f t="shared" si="1"/>
        <x:v>159750</x:v>
      </x:c>
      <x:c r="M16" s="534">
        <x:f t="shared" si="1"/>
        <x:v>159750</x:v>
      </x:c>
      <x:c r="N16" s="534">
        <x:f t="shared" si="1"/>
        <x:v>159750</x:v>
      </x:c>
      <x:c r="O16" s="534">
        <x:f t="shared" si="1"/>
        <x:v>159750</x:v>
      </x:c>
      <x:c r="P16" s="534">
        <x:f t="shared" si="1"/>
        <x:v>1813000</x:v>
      </x:c>
      <x:c r="Q16" s="580"/>
      <x:c r="R16" s="580"/>
    </x:row>
    <x:row r="17" spans="2:18" s="385" customFormat="1" ht="24" customHeight="1">
      <x:c r="B17" s="649"/>
      <x:c r="C17" s="453" t="s">
        <x:v>879</x:v>
      </x:c>
      <x:c r="D17" s="565">
        <x:f>SUM(D21,D22,D25)</x:f>
        <x:v>76750</x:v>
      </x:c>
      <x:c r="E17" s="565">
        <x:f t="shared" ref="E17:O17" si="2">SUM(E21,E22,E25)</x:f>
        <x:v>76750</x:v>
      </x:c>
      <x:c r="F17" s="565">
        <x:f t="shared" si="2"/>
        <x:v>76750</x:v>
      </x:c>
      <x:c r="G17" s="565">
        <x:f>SUM(G21,G22,G25)</x:f>
        <x:v>76750</x:v>
      </x:c>
      <x:c r="H17" s="565">
        <x:f>SUM(H21,H22,H25)</x:f>
        <x:v>102750</x:v>
      </x:c>
      <x:c r="I17" s="565">
        <x:f t="shared" si="2"/>
        <x:v>102750</x:v>
      </x:c>
      <x:c r="J17" s="565">
        <x:f t="shared" si="2"/>
        <x:v>102750</x:v>
      </x:c>
      <x:c r="K17" s="565">
        <x:f t="shared" si="2"/>
        <x:v>102750</x:v>
      </x:c>
      <x:c r="L17" s="565">
        <x:f t="shared" si="2"/>
        <x:v>102750</x:v>
      </x:c>
      <x:c r="M17" s="565">
        <x:f t="shared" si="2"/>
        <x:v>102750</x:v>
      </x:c>
      <x:c r="N17" s="565">
        <x:f t="shared" si="2"/>
        <x:v>102750</x:v>
      </x:c>
      <x:c r="O17" s="565">
        <x:f t="shared" si="2"/>
        <x:v>102750</x:v>
      </x:c>
      <x:c r="P17" s="565">
        <x:f>SUM(D17:O17)</x:f>
        <x:v>1129000</x:v>
      </x:c>
      <x:c r="Q17" s="393"/>
      <x:c r="R17" s="393"/>
    </x:row>
    <x:row r="18" spans="2:18" s="385" customFormat="1" ht="24" customHeight="1">
      <x:c r="B18" s="649"/>
      <x:c r="C18" s="453" t="s">
        <x:v>880</x:v>
      </x:c>
      <x:c r="D18" s="565">
        <x:v>0</x:v>
      </x:c>
      <x:c r="E18" s="565">
        <x:v>0</x:v>
      </x:c>
      <x:c r="F18" s="565">
        <x:v>0</x:v>
      </x:c>
      <x:c r="G18" s="565">
        <x:v>0</x:v>
      </x:c>
      <x:c r="H18" s="565">
        <x:v>0</x:v>
      </x:c>
      <x:c r="I18" s="565">
        <x:v>0</x:v>
      </x:c>
      <x:c r="J18" s="565">
        <x:v>0</x:v>
      </x:c>
      <x:c r="K18" s="565">
        <x:v>0</x:v>
      </x:c>
      <x:c r="L18" s="565">
        <x:v>0</x:v>
      </x:c>
      <x:c r="M18" s="565">
        <x:v>0</x:v>
      </x:c>
      <x:c r="N18" s="565">
        <x:v>0</x:v>
      </x:c>
      <x:c r="O18" s="565">
        <x:v>0</x:v>
      </x:c>
      <x:c r="P18" s="565">
        <x:v>0</x:v>
      </x:c>
      <x:c r="Q18" s="393"/>
      <x:c r="R18" s="393"/>
    </x:row>
    <x:row r="19" spans="2:18" s="385" customFormat="1" ht="24" customHeight="1">
      <x:c r="B19" s="649"/>
      <x:c r="C19" s="453" t="s">
        <x:v>881</x:v>
      </x:c>
      <x:c r="D19" s="565">
        <x:f>D24</x:f>
        <x:v>30000</x:v>
      </x:c>
      <x:c r="E19" s="565">
        <x:f t="shared" ref="E19:O19" si="3">E24</x:f>
        <x:v>30000</x:v>
      </x:c>
      <x:c r="F19" s="565">
        <x:f t="shared" si="3"/>
        <x:v>30000</x:v>
      </x:c>
      <x:c r="G19" s="565">
        <x:f t="shared" si="3"/>
        <x:v>30000</x:v>
      </x:c>
      <x:c r="H19" s="565">
        <x:f t="shared" si="3"/>
        <x:v>30000</x:v>
      </x:c>
      <x:c r="I19" s="565">
        <x:f t="shared" si="3"/>
        <x:v>30000</x:v>
      </x:c>
      <x:c r="J19" s="565">
        <x:f t="shared" si="3"/>
        <x:v>30000</x:v>
      </x:c>
      <x:c r="K19" s="565">
        <x:f t="shared" si="3"/>
        <x:v>30000</x:v>
      </x:c>
      <x:c r="L19" s="565">
        <x:f t="shared" si="3"/>
        <x:v>30000</x:v>
      </x:c>
      <x:c r="M19" s="565">
        <x:f t="shared" si="3"/>
        <x:v>30000</x:v>
      </x:c>
      <x:c r="N19" s="565">
        <x:f t="shared" si="3"/>
        <x:v>30000</x:v>
      </x:c>
      <x:c r="O19" s="565">
        <x:f t="shared" si="3"/>
        <x:v>30000</x:v>
      </x:c>
      <x:c r="P19" s="565">
        <x:f t="shared" ref="P19" si="4">SUM(D19:O19)</x:f>
        <x:v>360000</x:v>
      </x:c>
      <x:c r="Q19" s="393"/>
      <x:c r="R19" s="393"/>
    </x:row>
    <x:row r="20" spans="2:18" s="385" customFormat="1" ht="24" customHeight="1" thickBot="1">
      <x:c r="B20" s="649"/>
      <x:c r="C20" s="687" t="s">
        <x:v>1024</x:v>
      </x:c>
      <x:c r="D20" s="559">
        <x:f>D23</x:f>
        <x:v>27000</x:v>
      </x:c>
      <x:c r="E20" s="559">
        <x:f t="shared" ref="E20:P20" si="5">E23</x:f>
        <x:v>27000</x:v>
      </x:c>
      <x:c r="F20" s="559">
        <x:f t="shared" si="5"/>
        <x:v>27000</x:v>
      </x:c>
      <x:c r="G20" s="559">
        <x:f t="shared" si="5"/>
        <x:v>27000</x:v>
      </x:c>
      <x:c r="H20" s="559">
        <x:f t="shared" si="5"/>
        <x:v>27000</x:v>
      </x:c>
      <x:c r="I20" s="559">
        <x:f t="shared" si="5"/>
        <x:v>27000</x:v>
      </x:c>
      <x:c r="J20" s="559">
        <x:f t="shared" si="5"/>
        <x:v>27000</x:v>
      </x:c>
      <x:c r="K20" s="559">
        <x:f t="shared" si="5"/>
        <x:v>27000</x:v>
      </x:c>
      <x:c r="L20" s="559">
        <x:f t="shared" si="5"/>
        <x:v>27000</x:v>
      </x:c>
      <x:c r="M20" s="559">
        <x:f t="shared" si="5"/>
        <x:v>27000</x:v>
      </x:c>
      <x:c r="N20" s="559">
        <x:f t="shared" si="5"/>
        <x:v>27000</x:v>
      </x:c>
      <x:c r="O20" s="559">
        <x:f t="shared" si="5"/>
        <x:v>27000</x:v>
      </x:c>
      <x:c r="P20" s="559">
        <x:f t="shared" si="5"/>
        <x:v>324000</x:v>
      </x:c>
      <x:c r="Q20" s="795"/>
      <x:c r="R20" s="795"/>
    </x:row>
    <x:row r="21" spans="2:18" s="385" customFormat="1" ht="24" customHeight="1">
      <x:c r="B21" s="649"/>
      <x:c r="C21" s="792" t="s">
        <x:v>211</x:v>
      </x:c>
      <x:c r="D21" s="444">
        <x:v>34000</x:v>
      </x:c>
      <x:c r="E21" s="444">
        <x:v>34000</x:v>
      </x:c>
      <x:c r="F21" s="444">
        <x:v>34000</x:v>
      </x:c>
      <x:c r="G21" s="444">
        <x:v>34000</x:v>
      </x:c>
      <x:c r="H21" s="444">
        <x:v>60000</x:v>
      </x:c>
      <x:c r="I21" s="444">
        <x:v>60000</x:v>
      </x:c>
      <x:c r="J21" s="444">
        <x:v>60000</x:v>
      </x:c>
      <x:c r="K21" s="444">
        <x:v>60000</x:v>
      </x:c>
      <x:c r="L21" s="444">
        <x:v>60000</x:v>
      </x:c>
      <x:c r="M21" s="444">
        <x:v>60000</x:v>
      </x:c>
      <x:c r="N21" s="444">
        <x:v>60000</x:v>
      </x:c>
      <x:c r="O21" s="444">
        <x:v>60000</x:v>
      </x:c>
      <x:c r="P21" s="444">
        <x:f>SUM(D21:O21)</x:f>
        <x:v>616000</x:v>
      </x:c>
      <x:c r="Q21" s="642" t="s">
        <x:v>212</x:v>
      </x:c>
      <x:c r="R21" s="642" t="s">
        <x:v>218</x:v>
      </x:c>
    </x:row>
    <x:row r="22" spans="2:18" s="385" customFormat="1" ht="24" customHeight="1">
      <x:c r="B22" s="649"/>
      <x:c r="C22" s="672" t="s">
        <x:v>213</x:v>
      </x:c>
      <x:c r="D22" s="747">
        <x:v>42750</x:v>
      </x:c>
      <x:c r="E22" s="747">
        <x:v>42750</x:v>
      </x:c>
      <x:c r="F22" s="747">
        <x:v>42750</x:v>
      </x:c>
      <x:c r="G22" s="747">
        <x:v>42750</x:v>
      </x:c>
      <x:c r="H22" s="747">
        <x:v>42750</x:v>
      </x:c>
      <x:c r="I22" s="747">
        <x:v>42750</x:v>
      </x:c>
      <x:c r="J22" s="747">
        <x:v>42750</x:v>
      </x:c>
      <x:c r="K22" s="747">
        <x:v>42750</x:v>
      </x:c>
      <x:c r="L22" s="747">
        <x:v>42750</x:v>
      </x:c>
      <x:c r="M22" s="747">
        <x:v>42750</x:v>
      </x:c>
      <x:c r="N22" s="747">
        <x:v>42750</x:v>
      </x:c>
      <x:c r="O22" s="747">
        <x:v>42750</x:v>
      </x:c>
      <x:c r="P22" s="747">
        <x:f t="shared" ref="P22:P24" si="6">SUM(D22:O22)</x:f>
        <x:v>513000</x:v>
      </x:c>
      <x:c r="Q22" s="762" t="s">
        <x:v>1196</x:v>
      </x:c>
      <x:c r="R22" s="762" t="s">
        <x:v>1195</x:v>
      </x:c>
    </x:row>
    <x:row r="23" spans="2:18" s="385" customFormat="1" ht="24" customHeight="1">
      <x:c r="B23" s="780"/>
      <x:c r="C23" s="520" t="s">
        <x:v>889</x:v>
      </x:c>
      <x:c r="D23" s="747">
        <x:v>27000</x:v>
      </x:c>
      <x:c r="E23" s="747">
        <x:v>27000</x:v>
      </x:c>
      <x:c r="F23" s="747">
        <x:v>27000</x:v>
      </x:c>
      <x:c r="G23" s="747">
        <x:v>27000</x:v>
      </x:c>
      <x:c r="H23" s="747">
        <x:v>27000</x:v>
      </x:c>
      <x:c r="I23" s="747">
        <x:v>27000</x:v>
      </x:c>
      <x:c r="J23" s="747">
        <x:v>27000</x:v>
      </x:c>
      <x:c r="K23" s="747">
        <x:v>27000</x:v>
      </x:c>
      <x:c r="L23" s="747">
        <x:v>27000</x:v>
      </x:c>
      <x:c r="M23" s="747">
        <x:v>27000</x:v>
      </x:c>
      <x:c r="N23" s="747">
        <x:v>27000</x:v>
      </x:c>
      <x:c r="O23" s="747">
        <x:v>27000</x:v>
      </x:c>
      <x:c r="P23" s="747">
        <x:f t="shared" si="6"/>
        <x:v>324000</x:v>
      </x:c>
      <x:c r="Q23" s="762" t="s">
        <x:v>214</x:v>
      </x:c>
      <x:c r="R23" s="762"/>
    </x:row>
    <x:row r="24" spans="2:18" s="385" customFormat="1" ht="24" customHeight="1">
      <x:c r="B24" s="649"/>
      <x:c r="C24" s="520" t="s">
        <x:v>888</x:v>
      </x:c>
      <x:c r="D24" s="747">
        <x:v>30000</x:v>
      </x:c>
      <x:c r="E24" s="747">
        <x:v>30000</x:v>
      </x:c>
      <x:c r="F24" s="747">
        <x:v>30000</x:v>
      </x:c>
      <x:c r="G24" s="747">
        <x:v>30000</x:v>
      </x:c>
      <x:c r="H24" s="747">
        <x:v>30000</x:v>
      </x:c>
      <x:c r="I24" s="747">
        <x:v>30000</x:v>
      </x:c>
      <x:c r="J24" s="747">
        <x:v>30000</x:v>
      </x:c>
      <x:c r="K24" s="747">
        <x:v>30000</x:v>
      </x:c>
      <x:c r="L24" s="747">
        <x:v>30000</x:v>
      </x:c>
      <x:c r="M24" s="747">
        <x:v>30000</x:v>
      </x:c>
      <x:c r="N24" s="747">
        <x:v>30000</x:v>
      </x:c>
      <x:c r="O24" s="747">
        <x:v>30000</x:v>
      </x:c>
      <x:c r="P24" s="747">
        <x:f t="shared" si="6"/>
        <x:v>360000</x:v>
      </x:c>
      <x:c r="Q24" s="762" t="s">
        <x:v>209</x:v>
      </x:c>
      <x:c r="R24" s="762"/>
    </x:row>
    <x:row r="25" spans="2:18" s="385" customFormat="1" ht="24" customHeight="1">
      <x:c r="B25" s="649"/>
      <x:c r="C25" s="445" t="s">
        <x:v>662</x:v>
      </x:c>
      <x:c r="D25" s="747">
        <x:v>0</x:v>
      </x:c>
      <x:c r="E25" s="747">
        <x:v>0</x:v>
      </x:c>
      <x:c r="F25" s="747">
        <x:v>0</x:v>
      </x:c>
      <x:c r="G25" s="747">
        <x:v>0</x:v>
      </x:c>
      <x:c r="H25" s="747">
        <x:v>0</x:v>
      </x:c>
      <x:c r="I25" s="747">
        <x:v>0</x:v>
      </x:c>
      <x:c r="J25" s="747">
        <x:v>0</x:v>
      </x:c>
      <x:c r="K25" s="747">
        <x:v>0</x:v>
      </x:c>
      <x:c r="L25" s="747">
        <x:v>0</x:v>
      </x:c>
      <x:c r="M25" s="747">
        <x:v>0</x:v>
      </x:c>
      <x:c r="N25" s="747">
        <x:v>0</x:v>
      </x:c>
      <x:c r="O25" s="747">
        <x:v>0</x:v>
      </x:c>
      <x:c r="P25" s="747">
        <x:f>SUM(E25:O25)</x:f>
        <x:v>0</x:v>
      </x:c>
      <x:c r="Q25" s="786"/>
      <x:c r="R25" s="786"/>
    </x:row>
    <x:row r="26" spans="2:18" s="385" customFormat="1" ht="24" customHeight="1">
      <x:c r="B26" s="649"/>
      <x:c r="C26" s="445" t="s">
        <x:v>890</x:v>
      </x:c>
      <x:c r="D26" s="661">
        <x:v>0</x:v>
      </x:c>
      <x:c r="E26" s="661">
        <x:v>0</x:v>
      </x:c>
      <x:c r="F26" s="661">
        <x:v>0</x:v>
      </x:c>
      <x:c r="G26" s="661">
        <x:v>0</x:v>
      </x:c>
      <x:c r="H26" s="661">
        <x:v>0</x:v>
      </x:c>
      <x:c r="I26" s="661">
        <x:v>0</x:v>
      </x:c>
      <x:c r="J26" s="661">
        <x:v>0</x:v>
      </x:c>
      <x:c r="K26" s="661">
        <x:v>0</x:v>
      </x:c>
      <x:c r="L26" s="661">
        <x:v>0</x:v>
      </x:c>
      <x:c r="M26" s="661">
        <x:v>0</x:v>
      </x:c>
      <x:c r="N26" s="661">
        <x:v>0</x:v>
      </x:c>
      <x:c r="O26" s="661">
        <x:v>0</x:v>
      </x:c>
      <x:c r="P26" s="747"/>
      <x:c r="Q26" s="786"/>
      <x:c r="R26" s="786"/>
    </x:row>
    <x:row r="27" spans="2:18" s="160" customFormat="1" ht="24" customHeight="1">
      <x:c r="B27" s="1359" t="s">
        <x:v>525</x:v>
      </x:c>
      <x:c r="C27" s="1359"/>
      <x:c r="D27" s="534">
        <x:f>SUM(D28:D30)</x:f>
        <x:v>44000</x:v>
      </x:c>
      <x:c r="E27" s="534">
        <x:f t="shared" ref="E27:P27" si="7">SUM(E28:E30)</x:f>
        <x:v>44000</x:v>
      </x:c>
      <x:c r="F27" s="534">
        <x:f t="shared" si="7"/>
        <x:v>44000</x:v>
      </x:c>
      <x:c r="G27" s="534">
        <x:f t="shared" si="7"/>
        <x:v>44000</x:v>
      </x:c>
      <x:c r="H27" s="534">
        <x:f t="shared" si="7"/>
        <x:v>44000</x:v>
      </x:c>
      <x:c r="I27" s="534">
        <x:f t="shared" si="7"/>
        <x:v>44000</x:v>
      </x:c>
      <x:c r="J27" s="534">
        <x:f t="shared" si="7"/>
        <x:v>44000</x:v>
      </x:c>
      <x:c r="K27" s="534">
        <x:f t="shared" si="7"/>
        <x:v>44000</x:v>
      </x:c>
      <x:c r="L27" s="534">
        <x:f t="shared" si="7"/>
        <x:v>44000</x:v>
      </x:c>
      <x:c r="M27" s="534">
        <x:f t="shared" si="7"/>
        <x:v>44000</x:v>
      </x:c>
      <x:c r="N27" s="534">
        <x:f t="shared" si="7"/>
        <x:v>44000</x:v>
      </x:c>
      <x:c r="O27" s="534">
        <x:f t="shared" si="7"/>
        <x:v>44000</x:v>
      </x:c>
      <x:c r="P27" s="534">
        <x:f t="shared" si="7"/>
        <x:v>484000</x:v>
      </x:c>
      <x:c r="Q27" s="484"/>
      <x:c r="R27" s="484"/>
    </x:row>
    <x:row r="28" spans="2:18" s="158" customFormat="1" ht="24" customHeight="1">
      <x:c r="B28" s="649"/>
      <x:c r="C28" s="600" t="s">
        <x:v>527</x:v>
      </x:c>
      <x:c r="D28" s="747">
        <x:v>32000</x:v>
      </x:c>
      <x:c r="E28" s="747">
        <x:v>32000</x:v>
      </x:c>
      <x:c r="F28" s="747">
        <x:v>32000</x:v>
      </x:c>
      <x:c r="G28" s="747">
        <x:v>32000</x:v>
      </x:c>
      <x:c r="H28" s="747">
        <x:v>32000</x:v>
      </x:c>
      <x:c r="I28" s="747">
        <x:v>32000</x:v>
      </x:c>
      <x:c r="J28" s="747">
        <x:v>32000</x:v>
      </x:c>
      <x:c r="K28" s="747">
        <x:v>32000</x:v>
      </x:c>
      <x:c r="L28" s="747">
        <x:v>32000</x:v>
      </x:c>
      <x:c r="M28" s="747">
        <x:v>32000</x:v>
      </x:c>
      <x:c r="N28" s="747">
        <x:v>32000</x:v>
      </x:c>
      <x:c r="O28" s="747">
        <x:v>32000</x:v>
      </x:c>
      <x:c r="P28" s="747">
        <x:f>SUM(E28:O28)</x:f>
        <x:v>352000</x:v>
      </x:c>
      <x:c r="Q28" s="617" t="s">
        <x:v>100</x:v>
      </x:c>
      <x:c r="R28" s="762" t="s">
        <x:v>840</x:v>
      </x:c>
    </x:row>
    <x:row r="29" spans="2:18" s="158" customFormat="1" ht="24" customHeight="1">
      <x:c r="B29" s="649"/>
      <x:c r="C29" s="600" t="s">
        <x:v>528</x:v>
      </x:c>
      <x:c r="D29" s="747">
        <x:v>8000</x:v>
      </x:c>
      <x:c r="E29" s="747">
        <x:v>8000</x:v>
      </x:c>
      <x:c r="F29" s="747">
        <x:v>8000</x:v>
      </x:c>
      <x:c r="G29" s="747">
        <x:v>8000</x:v>
      </x:c>
      <x:c r="H29" s="747">
        <x:v>8000</x:v>
      </x:c>
      <x:c r="I29" s="747">
        <x:v>8000</x:v>
      </x:c>
      <x:c r="J29" s="747">
        <x:v>8000</x:v>
      </x:c>
      <x:c r="K29" s="747">
        <x:v>8000</x:v>
      </x:c>
      <x:c r="L29" s="747">
        <x:v>8000</x:v>
      </x:c>
      <x:c r="M29" s="747">
        <x:v>8000</x:v>
      </x:c>
      <x:c r="N29" s="747">
        <x:v>8000</x:v>
      </x:c>
      <x:c r="O29" s="747">
        <x:v>8000</x:v>
      </x:c>
      <x:c r="P29" s="747">
        <x:f t="shared" ref="P29:P30" si="8">SUM(E29:O29)</x:f>
        <x:v>88000</x:v>
      </x:c>
      <x:c r="Q29" s="617"/>
      <x:c r="R29" s="762" t="s">
        <x:v>840</x:v>
      </x:c>
    </x:row>
    <x:row r="30" spans="2:18" s="158" customFormat="1" ht="24" customHeight="1">
      <x:c r="B30" s="649"/>
      <x:c r="C30" s="600" t="s">
        <x:v>529</x:v>
      </x:c>
      <x:c r="D30" s="747">
        <x:v>4000</x:v>
      </x:c>
      <x:c r="E30" s="747">
        <x:v>4000</x:v>
      </x:c>
      <x:c r="F30" s="747">
        <x:v>4000</x:v>
      </x:c>
      <x:c r="G30" s="747">
        <x:v>4000</x:v>
      </x:c>
      <x:c r="H30" s="747">
        <x:v>4000</x:v>
      </x:c>
      <x:c r="I30" s="747">
        <x:v>4000</x:v>
      </x:c>
      <x:c r="J30" s="747">
        <x:v>4000</x:v>
      </x:c>
      <x:c r="K30" s="747">
        <x:v>4000</x:v>
      </x:c>
      <x:c r="L30" s="747">
        <x:v>4000</x:v>
      </x:c>
      <x:c r="M30" s="747">
        <x:v>4000</x:v>
      </x:c>
      <x:c r="N30" s="747">
        <x:v>4000</x:v>
      </x:c>
      <x:c r="O30" s="747">
        <x:v>4000</x:v>
      </x:c>
      <x:c r="P30" s="747">
        <x:f t="shared" si="8"/>
        <x:v>44000</x:v>
      </x:c>
      <x:c r="Q30" s="163"/>
      <x:c r="R30" s="762" t="s">
        <x:v>840</x:v>
      </x:c>
    </x:row>
    <x:row r="31" spans="2:18" s="160" customFormat="1" ht="24" customHeight="1">
      <x:c r="B31" s="1359" t="s">
        <x:v>1072</x:v>
      </x:c>
      <x:c r="C31" s="1359"/>
      <x:c r="D31" s="534">
        <x:f>SUM(D32:D34)</x:f>
        <x:v>13000</x:v>
      </x:c>
      <x:c r="E31" s="534">
        <x:f t="shared" ref="E31" si="9">SUM(E32:E34)</x:f>
        <x:v>13000</x:v>
      </x:c>
      <x:c r="F31" s="534">
        <x:f t="shared" ref="F31" si="10">SUM(F32:F34)</x:f>
        <x:v>13000</x:v>
      </x:c>
      <x:c r="G31" s="534">
        <x:f t="shared" ref="G31" si="11">SUM(G32:G34)</x:f>
        <x:v>13000</x:v>
      </x:c>
      <x:c r="H31" s="534">
        <x:f t="shared" ref="H31" si="12">SUM(H32:H34)</x:f>
        <x:v>13000</x:v>
      </x:c>
      <x:c r="I31" s="534">
        <x:f t="shared" ref="I31" si="13">SUM(I32:I34)</x:f>
        <x:v>13000</x:v>
      </x:c>
      <x:c r="J31" s="534">
        <x:f t="shared" ref="J31" si="14">SUM(J32:J34)</x:f>
        <x:v>13000</x:v>
      </x:c>
      <x:c r="K31" s="534">
        <x:f t="shared" ref="K31" si="15">SUM(K32:K34)</x:f>
        <x:v>13000</x:v>
      </x:c>
      <x:c r="L31" s="534">
        <x:f t="shared" ref="L31" si="16">SUM(L32:L34)</x:f>
        <x:v>13000</x:v>
      </x:c>
      <x:c r="M31" s="534">
        <x:f t="shared" ref="M31" si="17">SUM(M32:M34)</x:f>
        <x:v>13000</x:v>
      </x:c>
      <x:c r="N31" s="534">
        <x:f t="shared" ref="N31" si="18">SUM(N32:N34)</x:f>
        <x:v>13000</x:v>
      </x:c>
      <x:c r="O31" s="534">
        <x:f t="shared" ref="O31" si="19">SUM(O32:O34)</x:f>
        <x:v>13000</x:v>
      </x:c>
      <x:c r="P31" s="534">
        <x:f t="shared" ref="P31" si="20">SUM(P32:P34)</x:f>
        <x:v>143000</x:v>
      </x:c>
      <x:c r="Q31" s="484"/>
      <x:c r="R31" s="484"/>
    </x:row>
    <x:row r="32" spans="2:18" s="158" customFormat="1" ht="24" customHeight="1">
      <x:c r="B32" s="649"/>
      <x:c r="C32" s="600" t="s">
        <x:v>527</x:v>
      </x:c>
      <x:c r="D32" s="747">
        <x:v>10000</x:v>
      </x:c>
      <x:c r="E32" s="747">
        <x:v>10000</x:v>
      </x:c>
      <x:c r="F32" s="747">
        <x:v>10000</x:v>
      </x:c>
      <x:c r="G32" s="747">
        <x:v>10000</x:v>
      </x:c>
      <x:c r="H32" s="747">
        <x:v>10000</x:v>
      </x:c>
      <x:c r="I32" s="747">
        <x:v>10000</x:v>
      </x:c>
      <x:c r="J32" s="747">
        <x:v>10000</x:v>
      </x:c>
      <x:c r="K32" s="747">
        <x:v>10000</x:v>
      </x:c>
      <x:c r="L32" s="747">
        <x:v>10000</x:v>
      </x:c>
      <x:c r="M32" s="747">
        <x:v>10000</x:v>
      </x:c>
      <x:c r="N32" s="747">
        <x:v>10000</x:v>
      </x:c>
      <x:c r="O32" s="747">
        <x:v>10000</x:v>
      </x:c>
      <x:c r="P32" s="747">
        <x:f>SUM(E32:O32)</x:f>
        <x:v>110000</x:v>
      </x:c>
      <x:c r="Q32" s="163" t="s">
        <x:v>1068</x:v>
      </x:c>
      <x:c r="R32" s="786" t="s">
        <x:v>1069</x:v>
      </x:c>
    </x:row>
    <x:row r="33" spans="2:19" s="158" customFormat="1" ht="24" customHeight="1">
      <x:c r="B33" s="649"/>
      <x:c r="C33" s="600" t="s">
        <x:v>528</x:v>
      </x:c>
      <x:c r="D33" s="747">
        <x:v>1500</x:v>
      </x:c>
      <x:c r="E33" s="747">
        <x:v>1500</x:v>
      </x:c>
      <x:c r="F33" s="747">
        <x:v>1500</x:v>
      </x:c>
      <x:c r="G33" s="747">
        <x:v>1500</x:v>
      </x:c>
      <x:c r="H33" s="747">
        <x:v>1500</x:v>
      </x:c>
      <x:c r="I33" s="747">
        <x:v>1500</x:v>
      </x:c>
      <x:c r="J33" s="747">
        <x:v>1500</x:v>
      </x:c>
      <x:c r="K33" s="747">
        <x:v>1500</x:v>
      </x:c>
      <x:c r="L33" s="747">
        <x:v>1500</x:v>
      </x:c>
      <x:c r="M33" s="747">
        <x:v>1500</x:v>
      </x:c>
      <x:c r="N33" s="747">
        <x:v>1500</x:v>
      </x:c>
      <x:c r="O33" s="747">
        <x:v>1500</x:v>
      </x:c>
      <x:c r="P33" s="747">
        <x:f t="shared" ref="P33:P34" si="21">SUM(E33:O33)</x:f>
        <x:v>16500</x:v>
      </x:c>
      <x:c r="Q33" s="163"/>
      <x:c r="R33" s="786" t="s">
        <x:v>1070</x:v>
      </x:c>
      <x:c r="S33" s="21"/>
    </x:row>
    <x:row r="34" spans="2:19" s="158" customFormat="1" ht="24" customHeight="1">
      <x:c r="B34" s="649"/>
      <x:c r="C34" s="600" t="s">
        <x:v>529</x:v>
      </x:c>
      <x:c r="D34" s="747">
        <x:v>1500</x:v>
      </x:c>
      <x:c r="E34" s="747">
        <x:v>1500</x:v>
      </x:c>
      <x:c r="F34" s="747">
        <x:v>1500</x:v>
      </x:c>
      <x:c r="G34" s="747">
        <x:v>1500</x:v>
      </x:c>
      <x:c r="H34" s="747">
        <x:v>1500</x:v>
      </x:c>
      <x:c r="I34" s="747">
        <x:v>1500</x:v>
      </x:c>
      <x:c r="J34" s="747">
        <x:v>1500</x:v>
      </x:c>
      <x:c r="K34" s="747">
        <x:v>1500</x:v>
      </x:c>
      <x:c r="L34" s="747">
        <x:v>1500</x:v>
      </x:c>
      <x:c r="M34" s="747">
        <x:v>1500</x:v>
      </x:c>
      <x:c r="N34" s="747">
        <x:v>1500</x:v>
      </x:c>
      <x:c r="O34" s="747">
        <x:v>1500</x:v>
      </x:c>
      <x:c r="P34" s="747">
        <x:f t="shared" si="21"/>
        <x:v>16500</x:v>
      </x:c>
      <x:c r="Q34" s="163"/>
      <x:c r="R34" s="786" t="s">
        <x:v>1071</x:v>
      </x:c>
      <x:c r="S34" s="21"/>
    </x:row>
    <x:row r="35" spans="2:19" s="160" customFormat="1" ht="24" customHeight="1">
      <x:c r="B35" s="1359" t="s">
        <x:v>1073</x:v>
      </x:c>
      <x:c r="C35" s="1359"/>
      <x:c r="D35" s="534">
        <x:f>SUM(D36:D38)</x:f>
        <x:v>0</x:v>
      </x:c>
      <x:c r="E35" s="534">
        <x:f t="shared" ref="E35" si="22">SUM(E36:E38)</x:f>
        <x:v>0</x:v>
      </x:c>
      <x:c r="F35" s="534">
        <x:f t="shared" ref="F35" si="23">SUM(F36:F38)</x:f>
        <x:v>20000</x:v>
      </x:c>
      <x:c r="G35" s="534">
        <x:f t="shared" ref="G35" si="24">SUM(G36:G38)</x:f>
        <x:v>0</x:v>
      </x:c>
      <x:c r="H35" s="534">
        <x:f t="shared" ref="H35" si="25">SUM(H36:H38)</x:f>
        <x:v>0</x:v>
      </x:c>
      <x:c r="I35" s="534">
        <x:f t="shared" ref="I35" si="26">SUM(I36:I38)</x:f>
        <x:v>0</x:v>
      </x:c>
      <x:c r="J35" s="534">
        <x:f t="shared" ref="J35" si="27">SUM(J36:J38)</x:f>
        <x:v>0</x:v>
      </x:c>
      <x:c r="K35" s="534">
        <x:f t="shared" ref="K35" si="28">SUM(K36:K38)</x:f>
        <x:v>0</x:v>
      </x:c>
      <x:c r="L35" s="534">
        <x:f t="shared" ref="L35" si="29">SUM(L36:L38)</x:f>
        <x:v>0</x:v>
      </x:c>
      <x:c r="M35" s="534">
        <x:f t="shared" ref="M35" si="30">SUM(M36:M38)</x:f>
        <x:v>0</x:v>
      </x:c>
      <x:c r="N35" s="534">
        <x:f t="shared" ref="N35" si="31">SUM(N36:N38)</x:f>
        <x:v>0</x:v>
      </x:c>
      <x:c r="O35" s="534">
        <x:f t="shared" ref="O35" si="32">SUM(O36:O38)</x:f>
        <x:v>0</x:v>
      </x:c>
      <x:c r="P35" s="534">
        <x:f t="shared" ref="P35" si="33">SUM(P36:P38)</x:f>
        <x:v>20000</x:v>
      </x:c>
      <x:c r="Q35" s="484"/>
      <x:c r="R35" s="484"/>
      <x:c r="S35" s="21"/>
    </x:row>
    <x:row r="36" spans="2:19" s="158" customFormat="1" ht="24" customHeight="1">
      <x:c r="B36" s="649"/>
      <x:c r="C36" s="600" t="s">
        <x:v>527</x:v>
      </x:c>
      <x:c r="D36" s="747">
        <x:v>0</x:v>
      </x:c>
      <x:c r="E36" s="747">
        <x:v>0</x:v>
      </x:c>
      <x:c r="F36" s="747">
        <x:v>10000</x:v>
      </x:c>
      <x:c r="G36" s="747">
        <x:v>0</x:v>
      </x:c>
      <x:c r="H36" s="747">
        <x:v>0</x:v>
      </x:c>
      <x:c r="I36" s="747">
        <x:v>0</x:v>
      </x:c>
      <x:c r="J36" s="747">
        <x:v>0</x:v>
      </x:c>
      <x:c r="K36" s="747">
        <x:v>0</x:v>
      </x:c>
      <x:c r="L36" s="747">
        <x:v>0</x:v>
      </x:c>
      <x:c r="M36" s="747">
        <x:v>0</x:v>
      </x:c>
      <x:c r="N36" s="747">
        <x:v>0</x:v>
      </x:c>
      <x:c r="O36" s="747">
        <x:v>0</x:v>
      </x:c>
      <x:c r="P36" s="747">
        <x:f>SUM(E36:O36)</x:f>
        <x:v>10000</x:v>
      </x:c>
      <x:c r="Q36" s="163" t="s">
        <x:v>1074</x:v>
      </x:c>
      <x:c r="R36" s="786"/>
      <x:c r="S36" s="21"/>
    </x:row>
    <x:row r="37" spans="2:19" s="158" customFormat="1" ht="24" customHeight="1">
      <x:c r="B37" s="649"/>
      <x:c r="C37" s="600" t="s">
        <x:v>528</x:v>
      </x:c>
      <x:c r="D37" s="747">
        <x:v>0</x:v>
      </x:c>
      <x:c r="E37" s="747">
        <x:v>0</x:v>
      </x:c>
      <x:c r="F37" s="747">
        <x:v>5000</x:v>
      </x:c>
      <x:c r="G37" s="747">
        <x:v>0</x:v>
      </x:c>
      <x:c r="H37" s="747">
        <x:v>0</x:v>
      </x:c>
      <x:c r="I37" s="747">
        <x:v>0</x:v>
      </x:c>
      <x:c r="J37" s="747">
        <x:v>0</x:v>
      </x:c>
      <x:c r="K37" s="747">
        <x:v>0</x:v>
      </x:c>
      <x:c r="L37" s="747">
        <x:v>0</x:v>
      </x:c>
      <x:c r="M37" s="747">
        <x:v>0</x:v>
      </x:c>
      <x:c r="N37" s="747">
        <x:v>0</x:v>
      </x:c>
      <x:c r="O37" s="747">
        <x:v>0</x:v>
      </x:c>
      <x:c r="P37" s="747">
        <x:f t="shared" ref="P37:P38" si="34">SUM(E37:O37)</x:f>
        <x:v>5000</x:v>
      </x:c>
      <x:c r="Q37" s="163"/>
      <x:c r="R37" s="786"/>
      <x:c r="S37" s="21"/>
    </x:row>
    <x:row r="38" spans="2:19" s="158" customFormat="1" ht="24" customHeight="1">
      <x:c r="B38" s="649"/>
      <x:c r="C38" s="600" t="s">
        <x:v>529</x:v>
      </x:c>
      <x:c r="D38" s="747">
        <x:v>0</x:v>
      </x:c>
      <x:c r="E38" s="747">
        <x:v>0</x:v>
      </x:c>
      <x:c r="F38" s="747">
        <x:v>5000</x:v>
      </x:c>
      <x:c r="G38" s="747">
        <x:v>0</x:v>
      </x:c>
      <x:c r="H38" s="747">
        <x:v>0</x:v>
      </x:c>
      <x:c r="I38" s="747">
        <x:v>0</x:v>
      </x:c>
      <x:c r="J38" s="747">
        <x:v>0</x:v>
      </x:c>
      <x:c r="K38" s="747">
        <x:v>0</x:v>
      </x:c>
      <x:c r="L38" s="747">
        <x:v>0</x:v>
      </x:c>
      <x:c r="M38" s="747">
        <x:v>0</x:v>
      </x:c>
      <x:c r="N38" s="747">
        <x:v>0</x:v>
      </x:c>
      <x:c r="O38" s="747">
        <x:v>0</x:v>
      </x:c>
      <x:c r="P38" s="747">
        <x:f t="shared" si="34"/>
        <x:v>5000</x:v>
      </x:c>
      <x:c r="Q38" s="661"/>
      <x:c r="R38" s="786"/>
      <x:c r="S38" s="21"/>
    </x:row>
    <x:row r="39" spans="2:19" ht="24" customHeight="1"/>
    <x:row r="42" spans="2:19" ht="26.25">
      <x:c r="B42" s="27" t="s">
        <x:v>215</x:v>
      </x:c>
      <x:c r="C42" s="20"/>
      <x:c r="D42" s="20"/>
      <x:c r="E42" s="20"/>
      <x:c r="F42" s="20"/>
      <x:c r="G42" s="20"/>
      <x:c r="H42" s="20"/>
    </x:row>
    <x:row r="43" spans="2:19" ht="2.4500000000000002" customHeight="1">
      <x:c r="B43" s="29"/>
      <x:c r="C43" s="29"/>
      <x:c r="D43" s="29"/>
      <x:c r="E43" s="29"/>
      <x:c r="F43" s="29"/>
      <x:c r="G43" s="29"/>
      <x:c r="H43" s="29"/>
    </x:row>
    <x:row r="44" spans="2:19" ht="7.9" customHeight="1"/>
    <x:row r="45" spans="2:19" ht="22.9" customHeight="1">
      <x:c r="B45" s="1368" t="s">
        <x:v>192</x:v>
      </x:c>
      <x:c r="C45" s="1369"/>
      <x:c r="D45" s="554" t="s">
        <x:v>193</x:v>
      </x:c>
      <x:c r="E45" s="607" t="s">
        <x:v>513</x:v>
      </x:c>
      <x:c r="F45" s="607" t="s">
        <x:v>514</x:v>
      </x:c>
      <x:c r="G45" s="607" t="s">
        <x:v>515</x:v>
      </x:c>
      <x:c r="H45" s="607" t="s">
        <x:v>516</x:v>
      </x:c>
      <x:c r="I45" s="607" t="s">
        <x:v>173</x:v>
      </x:c>
      <x:c r="J45" s="607" t="s">
        <x:v>517</x:v>
      </x:c>
      <x:c r="K45" s="607" t="s">
        <x:v>518</x:v>
      </x:c>
      <x:c r="L45" s="607" t="s">
        <x:v>519</x:v>
      </x:c>
      <x:c r="M45" s="607" t="s">
        <x:v>520</x:v>
      </x:c>
      <x:c r="N45" s="607" t="s">
        <x:v>521</x:v>
      </x:c>
      <x:c r="O45" s="607" t="s">
        <x:v>522</x:v>
      </x:c>
      <x:c r="P45" s="607" t="s">
        <x:v>523</x:v>
      </x:c>
      <x:c r="Q45" s="607" t="s">
        <x:v>524</x:v>
      </x:c>
      <x:c r="R45" s="554" t="s">
        <x:v>542</x:v>
      </x:c>
      <x:c r="S45" s="554" t="s">
        <x:v>208</x:v>
      </x:c>
    </x:row>
    <x:row r="46" spans="2:19" ht="22.9" customHeight="1">
      <x:c r="B46" s="1367" t="s">
        <x:v>544</x:v>
      </x:c>
      <x:c r="C46" s="1367"/>
      <x:c r="D46" s="542" t="s">
        <x:v>198</x:v>
      </x:c>
      <x:c r="E46" s="467">
        <x:f>SUM(E47:E52)</x:f>
        <x:v>9100</x:v>
      </x:c>
      <x:c r="F46" s="467">
        <x:f>SUM(F47:F52)</x:f>
        <x:v>453100</x:v>
      </x:c>
      <x:c r="G46" s="467">
        <x:f t="shared" ref="G46:O46" si="35">SUM(G47:G52)</x:f>
        <x:v>9100</x:v>
      </x:c>
      <x:c r="H46" s="467">
        <x:f t="shared" si="35"/>
        <x:v>1809100</x:v>
      </x:c>
      <x:c r="I46" s="467">
        <x:f t="shared" si="35"/>
        <x:v>9100</x:v>
      </x:c>
      <x:c r="J46" s="467">
        <x:f t="shared" si="35"/>
        <x:v>2889100</x:v>
      </x:c>
      <x:c r="K46" s="467">
        <x:f t="shared" si="35"/>
        <x:v>9100</x:v>
      </x:c>
      <x:c r="L46" s="467">
        <x:f t="shared" si="35"/>
        <x:v>9100</x:v>
      </x:c>
      <x:c r="M46" s="467">
        <x:f t="shared" si="35"/>
        <x:v>9100</x:v>
      </x:c>
      <x:c r="N46" s="467">
        <x:f t="shared" si="35"/>
        <x:v>9100</x:v>
      </x:c>
      <x:c r="O46" s="467">
        <x:f t="shared" si="35"/>
        <x:v>9100</x:v>
      </x:c>
      <x:c r="P46" s="467">
        <x:f>SUM(P47:P52)</x:f>
        <x:v>9100</x:v>
      </x:c>
      <x:c r="Q46" s="467">
        <x:f>SUM(Q47:Q52)</x:f>
        <x:v>5233200</x:v>
      </x:c>
      <x:c r="R46" s="542"/>
      <x:c r="S46" s="542"/>
    </x:row>
    <x:row r="47" spans="2:19" ht="22.9" customHeight="1">
      <x:c r="B47" s="439"/>
      <x:c r="C47" s="542" t="s">
        <x:v>219</x:v>
      </x:c>
      <x:c r="D47" s="542" t="s">
        <x:v>216</x:v>
      </x:c>
      <x:c r="E47" s="639" t="s">
        <x:v>1484</x:v>
      </x:c>
      <x:c r="F47" s="639" t="s">
        <x:v>1484</x:v>
      </x:c>
      <x:c r="G47" s="639" t="s">
        <x:v>1484</x:v>
      </x:c>
      <x:c r="H47" s="639">
        <x:f>150000*12</x:f>
        <x:v>1800000</x:v>
      </x:c>
      <x:c r="I47" s="639" t="s">
        <x:v>1484</x:v>
      </x:c>
      <x:c r="J47" s="639" t="s">
        <x:v>1484</x:v>
      </x:c>
      <x:c r="K47" s="639" t="s">
        <x:v>1484</x:v>
      </x:c>
      <x:c r="L47" s="639" t="s">
        <x:v>1484</x:v>
      </x:c>
      <x:c r="M47" s="639" t="s">
        <x:v>1484</x:v>
      </x:c>
      <x:c r="N47" s="639" t="s">
        <x:v>1484</x:v>
      </x:c>
      <x:c r="O47" s="639" t="s">
        <x:v>1484</x:v>
      </x:c>
      <x:c r="P47" s="639" t="s">
        <x:v>1484</x:v>
      </x:c>
      <x:c r="Q47" s="639">
        <x:f>SUM(E47:P47)</x:f>
        <x:v>1800000</x:v>
      </x:c>
      <x:c r="R47" s="443">
        <x:v>46124</x:v>
      </x:c>
      <x:c r="S47" s="661" t="s">
        <x:v>1488</x:v>
      </x:c>
    </x:row>
    <x:row r="48" spans="2:19" ht="22.9" customHeight="1">
      <x:c r="B48" s="439"/>
      <x:c r="C48" s="542" t="s">
        <x:v>220</x:v>
      </x:c>
      <x:c r="D48" s="542" t="s">
        <x:v>216</x:v>
      </x:c>
      <x:c r="E48" s="639" t="s">
        <x:v>1484</x:v>
      </x:c>
      <x:c r="F48" s="639">
        <x:f>19000*12</x:f>
        <x:v>228000</x:v>
      </x:c>
      <x:c r="G48" s="639" t="s">
        <x:v>1484</x:v>
      </x:c>
      <x:c r="H48" s="639" t="s">
        <x:v>1484</x:v>
      </x:c>
      <x:c r="I48" s="639" t="s">
        <x:v>1484</x:v>
      </x:c>
      <x:c r="J48" s="639" t="s">
        <x:v>1484</x:v>
      </x:c>
      <x:c r="K48" s="639" t="s">
        <x:v>1484</x:v>
      </x:c>
      <x:c r="L48" s="639" t="s">
        <x:v>1484</x:v>
      </x:c>
      <x:c r="M48" s="639" t="s">
        <x:v>1484</x:v>
      </x:c>
      <x:c r="N48" s="639" t="s">
        <x:v>1484</x:v>
      </x:c>
      <x:c r="O48" s="639" t="s">
        <x:v>1484</x:v>
      </x:c>
      <x:c r="P48" s="639" t="s">
        <x:v>1484</x:v>
      </x:c>
      <x:c r="Q48" s="639">
        <x:f>SUM(E48:P48)</x:f>
        <x:v>228000</x:v>
      </x:c>
      <x:c r="R48" s="443">
        <x:v>46067</x:v>
      </x:c>
      <x:c r="S48" s="661" t="s">
        <x:v>1486</x:v>
      </x:c>
    </x:row>
    <x:row r="49" spans="2:19" ht="22.9" customHeight="1">
      <x:c r="B49" s="439"/>
      <x:c r="C49" s="542" t="s">
        <x:v>221</x:v>
      </x:c>
      <x:c r="D49" s="542" t="s">
        <x:v>217</x:v>
      </x:c>
      <x:c r="E49" s="639" t="s">
        <x:v>1484</x:v>
      </x:c>
      <x:c r="F49" s="639" t="s">
        <x:v>1484</x:v>
      </x:c>
      <x:c r="G49" s="639" t="s">
        <x:v>1484</x:v>
      </x:c>
      <x:c r="H49" s="639" t="s">
        <x:v>1484</x:v>
      </x:c>
      <x:c r="I49" s="639" t="s">
        <x:v>1484</x:v>
      </x:c>
      <x:c r="J49" s="639">
        <x:f>120000*12</x:f>
        <x:v>1440000</x:v>
      </x:c>
      <x:c r="K49" s="639" t="s">
        <x:v>1484</x:v>
      </x:c>
      <x:c r="L49" s="639" t="s">
        <x:v>1484</x:v>
      </x:c>
      <x:c r="M49" s="639" t="s">
        <x:v>1484</x:v>
      </x:c>
      <x:c r="N49" s="639" t="s">
        <x:v>1484</x:v>
      </x:c>
      <x:c r="O49" s="639" t="s">
        <x:v>1484</x:v>
      </x:c>
      <x:c r="P49" s="639" t="s">
        <x:v>1484</x:v>
      </x:c>
      <x:c r="Q49" s="639">
        <x:f t="shared" ref="Q49:Q50" si="36">SUM(E49:P49)</x:f>
        <x:v>1440000</x:v>
      </x:c>
      <x:c r="R49" s="443">
        <x:v>46180</x:v>
      </x:c>
      <x:c r="S49" s="661" t="s">
        <x:v>1487</x:v>
      </x:c>
    </x:row>
    <x:row r="50" spans="2:19" ht="22.9" customHeight="1">
      <x:c r="B50" s="439"/>
      <x:c r="C50" s="542" t="s">
        <x:v>222</x:v>
      </x:c>
      <x:c r="D50" s="542" t="s">
        <x:v>217</x:v>
      </x:c>
      <x:c r="E50" s="639" t="s">
        <x:v>1484</x:v>
      </x:c>
      <x:c r="F50" s="639">
        <x:f>18000*12</x:f>
        <x:v>216000</x:v>
      </x:c>
      <x:c r="G50" s="639" t="s">
        <x:v>1484</x:v>
      </x:c>
      <x:c r="H50" s="639" t="s">
        <x:v>1484</x:v>
      </x:c>
      <x:c r="I50" s="639" t="s">
        <x:v>1484</x:v>
      </x:c>
      <x:c r="J50" s="639" t="s">
        <x:v>1484</x:v>
      </x:c>
      <x:c r="K50" s="639" t="s">
        <x:v>1484</x:v>
      </x:c>
      <x:c r="L50" s="639" t="s">
        <x:v>1484</x:v>
      </x:c>
      <x:c r="M50" s="639" t="s">
        <x:v>1484</x:v>
      </x:c>
      <x:c r="N50" s="639" t="s">
        <x:v>1484</x:v>
      </x:c>
      <x:c r="O50" s="639" t="s">
        <x:v>1484</x:v>
      </x:c>
      <x:c r="P50" s="639" t="s">
        <x:v>1484</x:v>
      </x:c>
      <x:c r="Q50" s="639">
        <x:f t="shared" si="36"/>
        <x:v>216000</x:v>
      </x:c>
      <x:c r="R50" s="443">
        <x:v>46081</x:v>
      </x:c>
      <x:c r="S50" s="661" t="s">
        <x:v>1485</x:v>
      </x:c>
    </x:row>
    <x:row r="51" spans="2:19" ht="22.9" customHeight="1">
      <x:c r="B51" s="439"/>
      <x:c r="C51" s="542" t="s">
        <x:v>1490</x:v>
      </x:c>
      <x:c r="D51" s="542" t="s">
        <x:v>1491</x:v>
      </x:c>
      <x:c r="E51" s="639" t="s">
        <x:v>287</x:v>
      </x:c>
      <x:c r="F51" s="639" t="s">
        <x:v>287</x:v>
      </x:c>
      <x:c r="G51" s="639" t="s">
        <x:v>287</x:v>
      </x:c>
      <x:c r="H51" s="639" t="s">
        <x:v>287</x:v>
      </x:c>
      <x:c r="I51" s="639" t="s">
        <x:v>287</x:v>
      </x:c>
      <x:c r="J51" s="639">
        <x:f>120000*12</x:f>
        <x:v>1440000</x:v>
      </x:c>
      <x:c r="K51" s="639" t="s">
        <x:v>287</x:v>
      </x:c>
      <x:c r="L51" s="639" t="s">
        <x:v>287</x:v>
      </x:c>
      <x:c r="M51" s="639" t="s">
        <x:v>287</x:v>
      </x:c>
      <x:c r="N51" s="639" t="s">
        <x:v>287</x:v>
      </x:c>
      <x:c r="O51" s="639" t="s">
        <x:v>287</x:v>
      </x:c>
      <x:c r="P51" s="639" t="s">
        <x:v>287</x:v>
      </x:c>
      <x:c r="Q51" s="639">
        <x:f t="shared" ref="Q51" si="37">SUM(E51:P51)</x:f>
        <x:v>1440000</x:v>
      </x:c>
      <x:c r="R51" s="443">
        <x:v>46081</x:v>
      </x:c>
      <x:c r="S51" s="661" t="s">
        <x:v>1485</x:v>
      </x:c>
    </x:row>
    <x:row r="52" spans="2:19" ht="31.15" customHeight="1">
      <x:c r="B52" s="439"/>
      <x:c r="C52" s="535" t="s">
        <x:v>543</x:v>
      </x:c>
      <x:c r="D52" s="542" t="s">
        <x:v>872</x:v>
      </x:c>
      <x:c r="E52" s="639">
        <x:f>7000*1.3</x:f>
        <x:v>9100</x:v>
      </x:c>
      <x:c r="F52" s="639">
        <x:f t="shared" ref="F52:P52" si="38">7000*1.3</x:f>
        <x:v>9100</x:v>
      </x:c>
      <x:c r="G52" s="639">
        <x:f t="shared" si="38"/>
        <x:v>9100</x:v>
      </x:c>
      <x:c r="H52" s="639">
        <x:f t="shared" si="38"/>
        <x:v>9100</x:v>
      </x:c>
      <x:c r="I52" s="639">
        <x:f t="shared" si="38"/>
        <x:v>9100</x:v>
      </x:c>
      <x:c r="J52" s="639">
        <x:f t="shared" si="38"/>
        <x:v>9100</x:v>
      </x:c>
      <x:c r="K52" s="639">
        <x:f t="shared" si="38"/>
        <x:v>9100</x:v>
      </x:c>
      <x:c r="L52" s="639">
        <x:f t="shared" si="38"/>
        <x:v>9100</x:v>
      </x:c>
      <x:c r="M52" s="639">
        <x:f t="shared" si="38"/>
        <x:v>9100</x:v>
      </x:c>
      <x:c r="N52" s="639">
        <x:f t="shared" si="38"/>
        <x:v>9100</x:v>
      </x:c>
      <x:c r="O52" s="639">
        <x:f t="shared" si="38"/>
        <x:v>9100</x:v>
      </x:c>
      <x:c r="P52" s="639">
        <x:f t="shared" si="38"/>
        <x:v>9100</x:v>
      </x:c>
      <x:c r="Q52" s="639">
        <x:f>SUM(E52:P52)</x:f>
        <x:v>109200</x:v>
      </x:c>
      <x:c r="R52" s="620"/>
      <x:c r="S52" s="620"/>
    </x:row>
    <x:row r="53" spans="2:19" ht="7.9" customHeight="1">
      <x:c r="B53" s="439"/>
      <x:c r="C53" s="439"/>
      <x:c r="D53" s="439"/>
      <x:c r="E53" s="439"/>
      <x:c r="F53" s="439"/>
      <x:c r="G53" s="439"/>
      <x:c r="H53" s="439"/>
      <x:c r="I53" s="439"/>
      <x:c r="J53" s="439"/>
      <x:c r="K53" s="439"/>
      <x:c r="L53" s="439"/>
      <x:c r="M53" s="439"/>
      <x:c r="N53" s="439"/>
      <x:c r="O53" s="439"/>
      <x:c r="P53" s="439"/>
      <x:c r="Q53" s="439"/>
      <x:c r="R53" s="439"/>
      <x:c r="S53" s="439"/>
    </x:row>
    <x:row r="54" spans="2:19" s="158" customFormat="1" ht="22.9" customHeight="1">
      <x:c r="B54" s="1365" t="s">
        <x:v>886</x:v>
      </x:c>
      <x:c r="C54" s="1366"/>
      <x:c r="D54" s="749"/>
      <x:c r="E54" s="749"/>
      <x:c r="F54" s="749"/>
      <x:c r="G54" s="749"/>
      <x:c r="H54" s="749"/>
      <x:c r="I54" s="749"/>
      <x:c r="J54" s="749"/>
      <x:c r="K54" s="749"/>
      <x:c r="L54" s="749"/>
      <x:c r="M54" s="749"/>
      <x:c r="N54" s="749"/>
      <x:c r="O54" s="749"/>
      <x:c r="P54" s="749"/>
      <x:c r="Q54" s="529"/>
      <x:c r="R54" s="554" t="s">
        <x:v>542</x:v>
      </x:c>
      <x:c r="S54" s="554" t="s">
        <x:v>208</x:v>
      </x:c>
    </x:row>
    <x:row r="55" spans="2:19" s="158" customFormat="1" ht="22.9" customHeight="1">
      <x:c r="B55" s="439"/>
      <x:c r="C55" s="189" t="s">
        <x:v>880</x:v>
      </x:c>
      <x:c r="D55" s="639">
        <x:v>0</x:v>
      </x:c>
      <x:c r="E55" s="639">
        <x:v>0</x:v>
      </x:c>
      <x:c r="F55" s="639">
        <x:v>0</x:v>
      </x:c>
      <x:c r="G55" s="639">
        <x:v>0</x:v>
      </x:c>
      <x:c r="H55" s="639">
        <x:v>0</x:v>
      </x:c>
      <x:c r="I55" s="639">
        <x:v>0</x:v>
      </x:c>
      <x:c r="J55" s="639">
        <x:v>0</x:v>
      </x:c>
      <x:c r="K55" s="639">
        <x:v>0</x:v>
      </x:c>
      <x:c r="L55" s="639">
        <x:v>0</x:v>
      </x:c>
      <x:c r="M55" s="639">
        <x:v>0</x:v>
      </x:c>
      <x:c r="N55" s="639">
        <x:v>0</x:v>
      </x:c>
      <x:c r="O55" s="639">
        <x:v>0</x:v>
      </x:c>
      <x:c r="P55" s="639">
        <x:v>0</x:v>
      </x:c>
      <x:c r="Q55" s="664" t="s">
        <x:v>574</x:v>
      </x:c>
      <x:c r="R55" s="597"/>
      <x:c r="S55" s="597"/>
    </x:row>
    <x:row r="56" spans="2:19" s="158" customFormat="1" ht="22.9" customHeight="1">
      <x:c r="B56" s="439"/>
      <x:c r="C56" s="189" t="s">
        <x:v>881</x:v>
      </x:c>
      <x:c r="D56" s="639">
        <x:v>35000</x:v>
      </x:c>
      <x:c r="E56" s="639">
        <x:v>35000</x:v>
      </x:c>
      <x:c r="F56" s="639">
        <x:v>35000</x:v>
      </x:c>
      <x:c r="G56" s="639">
        <x:v>35000</x:v>
      </x:c>
      <x:c r="H56" s="639">
        <x:v>35000</x:v>
      </x:c>
      <x:c r="I56" s="639">
        <x:v>35000</x:v>
      </x:c>
      <x:c r="J56" s="639">
        <x:v>35000</x:v>
      </x:c>
      <x:c r="K56" s="639">
        <x:v>35000</x:v>
      </x:c>
      <x:c r="L56" s="639">
        <x:v>35000</x:v>
      </x:c>
      <x:c r="M56" s="639">
        <x:v>35000</x:v>
      </x:c>
      <x:c r="N56" s="639">
        <x:v>35000</x:v>
      </x:c>
      <x:c r="O56" s="639">
        <x:v>35000</x:v>
      </x:c>
      <x:c r="P56" s="639">
        <x:f>SUM(D56:O56)</x:f>
        <x:v>420000</x:v>
      </x:c>
      <x:c r="Q56" s="664" t="s">
        <x:v>574</x:v>
      </x:c>
      <x:c r="R56" s="441" t="s">
        <x:v>887</x:v>
      </x:c>
      <x:c r="S56" s="597"/>
    </x:row>
  </x:sheetData>
  <x:mergeCells count="17">
    <x:mergeCell ref="B16:C16"/>
    <x:mergeCell ref="B27:C27"/>
    <x:mergeCell ref="G9:H9"/>
    <x:mergeCell ref="G10:H10"/>
    <x:mergeCell ref="B6:B9"/>
    <x:mergeCell ref="C6:C9"/>
    <x:mergeCell ref="B15:C15"/>
    <x:mergeCell ref="G4:H4"/>
    <x:mergeCell ref="G5:H5"/>
    <x:mergeCell ref="G6:H6"/>
    <x:mergeCell ref="G7:H7"/>
    <x:mergeCell ref="G8:H8"/>
    <x:mergeCell ref="B31:C31"/>
    <x:mergeCell ref="B35:C35"/>
    <x:mergeCell ref="B54:C54"/>
    <x:mergeCell ref="B46:C46"/>
    <x:mergeCell ref="B45:C45"/>
  </x:mergeCells>
  <x:phoneticPr fontId="3" type="noConversion"/>
  <x:pageMargins left="0.7" right="0.7" top="0.75" bottom="0.75" header="0.3" footer="0.3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E0B3EDF-0818-4507-8B5B-7AE69F479213}" mc:Ignorable="x14ac xr xr2 xr3">
  <x:sheetPr codeName="Sheet11"/>
  <x:dimension ref="B1:AU47"/>
  <x:sheetViews>
    <x:sheetView zoomScale="70" zoomScaleNormal="70" workbookViewId="0"/>
  </x:sheetViews>
  <x:sheetFormatPr defaultColWidth="8.75" defaultRowHeight="16.5"/>
  <x:cols>
    <x:col min="1" max="1" width="1.25" style="21" customWidth="1"/>
    <x:col min="2" max="2" width="28" style="21" customWidth="1"/>
    <x:col min="3" max="14" width="10.375" style="21" customWidth="1"/>
    <x:col min="15" max="15" width="10.125" style="21" bestFit="1" customWidth="1"/>
    <x:col min="16" max="19" width="8.75" style="21"/>
    <x:col min="20" max="20" width="30.5" style="21" bestFit="1" customWidth="1"/>
    <x:col min="21" max="32" width="8.75" style="21"/>
    <x:col min="33" max="33" width="10.125" style="21" bestFit="1" customWidth="1"/>
    <x:col min="34" max="34" width="8.75" style="21"/>
    <x:col min="35" max="35" width="8.75" style="21" customWidth="1"/>
    <x:col min="36" max="45" width="8.75" style="21"/>
    <x:col min="46" max="46" width="11.25" style="21" customWidth="1"/>
    <x:col min="47" max="16384" width="8.75" style="21"/>
  </x:cols>
  <x:sheetData>
    <x:row r="1" spans="2:47" ht="31.5">
      <x:c r="B1" s="26" t="s">
        <x:v>289</x:v>
      </x:c>
      <x:c r="C1" s="26"/>
      <x:c r="T1" s="26" t="s">
        <x:v>291</x:v>
      </x:c>
      <x:c r="AH1" s="26" t="s">
        <x:v>290</x:v>
      </x:c>
    </x:row>
    <x:row r="2" spans="2:47" ht="2.4500000000000002" customHeight="1">
      <x:c r="B2" s="29"/>
      <x:c r="C2" s="29"/>
      <x:c r="D2" s="29"/>
      <x:c r="E2" s="29"/>
      <x:c r="F2" s="29"/>
    </x:row>
    <x:row r="3" spans="2:47" ht="7.9" customHeight="1"/>
    <x:row r="4" spans="2:47" s="769" customFormat="1" ht="24" customHeight="1">
      <x:c r="B4" s="697" t="s">
        <x:v>267</x:v>
      </x:c>
      <x:c r="C4" s="697">
        <x:v>1</x:v>
      </x:c>
      <x:c r="D4" s="697">
        <x:v>2</x:v>
      </x:c>
      <x:c r="E4" s="697">
        <x:v>3</x:v>
      </x:c>
      <x:c r="F4" s="697">
        <x:v>4</x:v>
      </x:c>
      <x:c r="G4" s="697">
        <x:v>5</x:v>
      </x:c>
      <x:c r="H4" s="697">
        <x:v>6</x:v>
      </x:c>
      <x:c r="I4" s="697">
        <x:v>7</x:v>
      </x:c>
      <x:c r="J4" s="697">
        <x:v>8</x:v>
      </x:c>
      <x:c r="K4" s="697">
        <x:v>9</x:v>
      </x:c>
      <x:c r="L4" s="697">
        <x:v>10</x:v>
      </x:c>
      <x:c r="M4" s="697">
        <x:v>11</x:v>
      </x:c>
      <x:c r="N4" s="697">
        <x:v>12</x:v>
      </x:c>
      <x:c r="O4" s="697" t="s">
        <x:v>1157</x:v>
      </x:c>
      <x:c r="T4" s="1376">
        <x:v>2025</x:v>
      </x:c>
      <x:c r="U4" s="1376"/>
      <x:c r="V4" s="1376"/>
      <x:c r="W4" s="1376"/>
      <x:c r="X4" s="1376"/>
      <x:c r="Y4" s="1376"/>
      <x:c r="Z4" s="1376"/>
      <x:c r="AA4" s="1376"/>
      <x:c r="AB4" s="1376"/>
      <x:c r="AC4" s="1376"/>
      <x:c r="AD4" s="1376"/>
      <x:c r="AE4" s="1376"/>
      <x:c r="AF4" s="1376"/>
      <x:c r="AG4" s="1375" t="s">
        <x:v>186</x:v>
      </x:c>
      <x:c r="AH4" s="1377">
        <x:v>2026</x:v>
      </x:c>
      <x:c r="AI4" s="1377"/>
      <x:c r="AJ4" s="1377"/>
      <x:c r="AK4" s="1377"/>
      <x:c r="AL4" s="1377"/>
      <x:c r="AM4" s="1377"/>
      <x:c r="AN4" s="1377"/>
      <x:c r="AO4" s="1377"/>
      <x:c r="AP4" s="1377"/>
      <x:c r="AQ4" s="1377"/>
      <x:c r="AR4" s="1377"/>
      <x:c r="AS4" s="1377"/>
      <x:c r="AT4" s="1375" t="s">
        <x:v>186</x:v>
      </x:c>
      <x:c r="AU4" s="773"/>
    </x:row>
    <x:row r="5" spans="2:47" s="769" customFormat="1" ht="24" customHeight="1">
      <x:c r="B5" s="697" t="s">
        <x:v>268</x:v>
      </x:c>
      <x:c r="C5" s="712">
        <x:f t="shared" ref="C5:N5" si="0">+SUM(C6:C10)</x:f>
        <x:v>82238.147441666675</x:v>
      </x:c>
      <x:c r="D5" s="712">
        <x:f t="shared" si="0"/>
        <x:v>82238.147441666675</x:v>
      </x:c>
      <x:c r="E5" s="712">
        <x:f t="shared" si="0"/>
        <x:v>82238.147441666675</x:v>
      </x:c>
      <x:c r="F5" s="712">
        <x:f t="shared" si="0"/>
        <x:v>82238.147441666675</x:v>
      </x:c>
      <x:c r="G5" s="712">
        <x:f t="shared" si="0"/>
        <x:v>82238.147441666675</x:v>
      </x:c>
      <x:c r="H5" s="712">
        <x:f t="shared" si="0"/>
        <x:v>82238.147441666675</x:v>
      </x:c>
      <x:c r="I5" s="712">
        <x:f t="shared" si="0"/>
        <x:v>82238.147441666675</x:v>
      </x:c>
      <x:c r="J5" s="712">
        <x:f t="shared" si="0"/>
        <x:v>164476.29488333335</x:v>
      </x:c>
      <x:c r="K5" s="712">
        <x:f t="shared" si="0"/>
        <x:v>164476.29488333335</x:v>
      </x:c>
      <x:c r="L5" s="712">
        <x:f t="shared" si="0"/>
        <x:v>164476.29488333335</x:v>
      </x:c>
      <x:c r="M5" s="712">
        <x:f t="shared" si="0"/>
        <x:v>164476.29488333335</x:v>
      </x:c>
      <x:c r="N5" s="712">
        <x:f t="shared" si="0"/>
        <x:v>164476.29488333335</x:v>
      </x:c>
      <x:c r="O5" s="583">
        <x:f>SUM(C5:N5)</x:f>
        <x:v>1398048.5065083336</x:v>
      </x:c>
      <x:c r="T5" s="396" t="s">
        <x:v>265</x:v>
      </x:c>
      <x:c r="U5" s="429">
        <x:v>1</x:v>
      </x:c>
      <x:c r="V5" s="429">
        <x:v>2</x:v>
      </x:c>
      <x:c r="W5" s="429">
        <x:v>3</x:v>
      </x:c>
      <x:c r="X5" s="429">
        <x:v>4</x:v>
      </x:c>
      <x:c r="Y5" s="429">
        <x:v>5</x:v>
      </x:c>
      <x:c r="Z5" s="429">
        <x:v>6</x:v>
      </x:c>
      <x:c r="AA5" s="429">
        <x:v>7</x:v>
      </x:c>
      <x:c r="AB5" s="429">
        <x:v>8</x:v>
      </x:c>
      <x:c r="AC5" s="429">
        <x:v>9</x:v>
      </x:c>
      <x:c r="AD5" s="429">
        <x:v>10</x:v>
      </x:c>
      <x:c r="AE5" s="429">
        <x:v>11</x:v>
      </x:c>
      <x:c r="AF5" s="429">
        <x:v>12</x:v>
      </x:c>
      <x:c r="AG5" s="1375"/>
      <x:c r="AH5" s="429">
        <x:v>1</x:v>
      </x:c>
      <x:c r="AI5" s="429">
        <x:v>2</x:v>
      </x:c>
      <x:c r="AJ5" s="429">
        <x:v>3</x:v>
      </x:c>
      <x:c r="AK5" s="429">
        <x:v>4</x:v>
      </x:c>
      <x:c r="AL5" s="429">
        <x:v>5</x:v>
      </x:c>
      <x:c r="AM5" s="429">
        <x:v>6</x:v>
      </x:c>
      <x:c r="AN5" s="429">
        <x:v>7</x:v>
      </x:c>
      <x:c r="AO5" s="429">
        <x:v>8</x:v>
      </x:c>
      <x:c r="AP5" s="429">
        <x:v>9</x:v>
      </x:c>
      <x:c r="AQ5" s="429">
        <x:v>10</x:v>
      </x:c>
      <x:c r="AR5" s="429">
        <x:v>11</x:v>
      </x:c>
      <x:c r="AS5" s="429">
        <x:v>12</x:v>
      </x:c>
      <x:c r="AT5" s="1375"/>
      <x:c r="AU5" s="773"/>
    </x:row>
    <x:row r="6" spans="2:47" s="769" customFormat="1" ht="24" customHeight="1">
      <x:c r="B6" s="488" t="s">
        <x:v>266</x:v>
      </x:c>
      <x:c r="C6" s="316">
        <x:f>AH7</x:f>
        <x:v>23901.1162</x:v>
      </x:c>
      <x:c r="D6" s="316">
        <x:f t="shared" ref="D6:N6" si="1">AI7</x:f>
        <x:v>23901.1162</x:v>
      </x:c>
      <x:c r="E6" s="316">
        <x:f t="shared" si="1"/>
        <x:v>23901.1162</x:v>
      </x:c>
      <x:c r="F6" s="316">
        <x:f t="shared" si="1"/>
        <x:v>23901.1162</x:v>
      </x:c>
      <x:c r="G6" s="316">
        <x:f t="shared" si="1"/>
        <x:v>23901.1162</x:v>
      </x:c>
      <x:c r="H6" s="316">
        <x:f t="shared" si="1"/>
        <x:v>23901.1162</x:v>
      </x:c>
      <x:c r="I6" s="316">
        <x:f t="shared" si="1"/>
        <x:v>23901.1162</x:v>
      </x:c>
      <x:c r="J6" s="316">
        <x:f t="shared" si="1"/>
        <x:v>47802.232400000001</x:v>
      </x:c>
      <x:c r="K6" s="316">
        <x:f t="shared" si="1"/>
        <x:v>47802.232400000001</x:v>
      </x:c>
      <x:c r="L6" s="316">
        <x:f t="shared" si="1"/>
        <x:v>47802.232400000001</x:v>
      </x:c>
      <x:c r="M6" s="316">
        <x:f t="shared" si="1"/>
        <x:v>47802.232400000001</x:v>
      </x:c>
      <x:c r="N6" s="316">
        <x:f t="shared" si="1"/>
        <x:v>47802.232400000001</x:v>
      </x:c>
      <x:c r="O6" s="572">
        <x:f>+SUM(C6:N6)</x:f>
        <x:v>406318.97539999994</x:v>
      </x:c>
      <x:c r="T6" s="429" t="s">
        <x:v>28</x:v>
      </x:c>
      <x:c r="U6" s="810">
        <x:f>+SUM(U7:U12)</x:f>
        <x:v>34622.36</x:v>
      </x:c>
      <x:c r="V6" s="810">
        <x:f t="shared" ref="V6:AD6" si="2">+SUM(V7:V12)</x:f>
        <x:v>36793.81</x:v>
      </x:c>
      <x:c r="W6" s="810">
        <x:f t="shared" si="2"/>
        <x:v>118060.40999999999</x:v>
      </x:c>
      <x:c r="X6" s="810">
        <x:f t="shared" si="2"/>
        <x:v>97745.91</x:v>
      </x:c>
      <x:c r="Y6" s="810">
        <x:f t="shared" si="2"/>
        <x:v>58568.5</x:v>
      </x:c>
      <x:c r="Z6" s="810">
        <x:f t="shared" si="2"/>
        <x:v>66514.859999999986</x:v>
      </x:c>
      <x:c r="AA6" s="810">
        <x:f t="shared" si="2"/>
        <x:v>85593.890000000014</x:v>
      </x:c>
      <x:c r="AB6" s="810">
        <x:f t="shared" si="2"/>
        <x:v>22715.51999999999</x:v>
      </x:c>
      <x:c r="AC6" s="810">
        <x:f t="shared" si="2"/>
        <x:v>41512.239999999991</x:v>
      </x:c>
      <x:c r="AD6" s="810">
        <x:f t="shared" si="2"/>
        <x:v>71372.38</x:v>
      </x:c>
      <x:c r="AE6" s="810">
        <x:f>+SUM(AE7:AE13)</x:f>
        <x:v>64607.140500000001</x:v>
      </x:c>
      <x:c r="AF6" s="810">
        <x:f>+SUM(AF7:AF13)</x:f>
        <x:v>64607.140500000001</x:v>
      </x:c>
      <x:c r="AG6" s="1375"/>
      <x:c r="AH6" s="814">
        <x:f>+SUM(AH7:AH12)</x:f>
        <x:v>82238.147441666675</x:v>
      </x:c>
      <x:c r="AI6" s="814">
        <x:f t="shared" ref="AI6:AS6" si="3">+SUM(AI7:AI12)</x:f>
        <x:v>82238.147441666675</x:v>
      </x:c>
      <x:c r="AJ6" s="814">
        <x:f t="shared" si="3"/>
        <x:v>82238.147441666675</x:v>
      </x:c>
      <x:c r="AK6" s="814">
        <x:f t="shared" si="3"/>
        <x:v>82238.147441666675</x:v>
      </x:c>
      <x:c r="AL6" s="814">
        <x:f t="shared" si="3"/>
        <x:v>82238.147441666675</x:v>
      </x:c>
      <x:c r="AM6" s="814">
        <x:f t="shared" si="3"/>
        <x:v>82238.147441666675</x:v>
      </x:c>
      <x:c r="AN6" s="814">
        <x:f t="shared" si="3"/>
        <x:v>82238.147441666675</x:v>
      </x:c>
      <x:c r="AO6" s="814">
        <x:f t="shared" si="3"/>
        <x:v>164476.29488333335</x:v>
      </x:c>
      <x:c r="AP6" s="814">
        <x:f t="shared" si="3"/>
        <x:v>164476.29488333335</x:v>
      </x:c>
      <x:c r="AQ6" s="814">
        <x:f t="shared" si="3"/>
        <x:v>164476.29488333335</x:v>
      </x:c>
      <x:c r="AR6" s="814">
        <x:f t="shared" si="3"/>
        <x:v>164476.29488333335</x:v>
      </x:c>
      <x:c r="AS6" s="814">
        <x:f t="shared" si="3"/>
        <x:v>164476.29488333335</x:v>
      </x:c>
      <x:c r="AT6" s="1375"/>
      <x:c r="AU6" s="773"/>
    </x:row>
    <x:row r="7" spans="2:47" s="769" customFormat="1" ht="24" customHeight="1">
      <x:c r="B7" s="488" t="s">
        <x:v>30</x:v>
      </x:c>
      <x:c r="C7" s="316">
        <x:f t="shared" ref="C7" si="4">AH8</x:f>
        <x:v>0</x:v>
      </x:c>
      <x:c r="D7" s="316">
        <x:f t="shared" ref="D7:D10" si="5">AI8</x:f>
        <x:v>0</x:v>
      </x:c>
      <x:c r="E7" s="316">
        <x:f t="shared" ref="E7:E10" si="6">AJ8</x:f>
        <x:v>0</x:v>
      </x:c>
      <x:c r="F7" s="316">
        <x:f t="shared" ref="F7:F10" si="7">AK8</x:f>
        <x:v>0</x:v>
      </x:c>
      <x:c r="G7" s="316">
        <x:f t="shared" ref="G7:G10" si="8">AL8</x:f>
        <x:v>0</x:v>
      </x:c>
      <x:c r="H7" s="316">
        <x:f t="shared" ref="H7:H10" si="9">AM8</x:f>
        <x:v>0</x:v>
      </x:c>
      <x:c r="I7" s="316">
        <x:f t="shared" ref="I7:I10" si="10">AN8</x:f>
        <x:v>0</x:v>
      </x:c>
      <x:c r="J7" s="316">
        <x:f t="shared" ref="J7:J10" si="11">AO8</x:f>
        <x:v>0</x:v>
      </x:c>
      <x:c r="K7" s="316">
        <x:f t="shared" ref="K7:K10" si="12">AP8</x:f>
        <x:v>0</x:v>
      </x:c>
      <x:c r="L7" s="316">
        <x:f t="shared" ref="L7:L10" si="13">AQ8</x:f>
        <x:v>0</x:v>
      </x:c>
      <x:c r="M7" s="316">
        <x:f t="shared" ref="M7:M10" si="14">AR8</x:f>
        <x:v>0</x:v>
      </x:c>
      <x:c r="N7" s="316">
        <x:f t="shared" ref="N7:N10" si="15">AS8</x:f>
        <x:v>0</x:v>
      </x:c>
      <x:c r="O7" s="572">
        <x:f t="shared" ref="O7:O10" si="16">+SUM(C7:N7)</x:f>
        <x:v>0</x:v>
      </x:c>
      <x:c r="T7" s="429" t="s">
        <x:v>266</x:v>
      </x:c>
      <x:c r="U7" s="666">
        <x:v>15323.36</x:v>
      </x:c>
      <x:c r="V7" s="666">
        <x:v>3000</x:v>
      </x:c>
      <x:c r="W7" s="666">
        <x:v>61029.009999999995</x:v>
      </x:c>
      <x:c r="X7" s="666">
        <x:v>49802.010000000009</x:v>
      </x:c>
      <x:c r="Y7" s="666">
        <x:v>7800</x:v>
      </x:c>
      <x:c r="Z7" s="666">
        <x:v>21255.359999999986</x:v>
      </x:c>
      <x:c r="AA7" s="666">
        <x:v>13200</x:v>
      </x:c>
      <x:c r="AB7" s="666">
        <x:v>6445</x:v>
      </x:c>
      <x:c r="AC7" s="666">
        <x:v>2100</x:v>
      </x:c>
      <x:c r="AD7" s="666">
        <x:v>3900</x:v>
      </x:c>
      <x:c r="AE7" s="666">
        <x:f>AVERAGE(U7:AD7)</x:f>
        <x:v>18385.473999999998</x:v>
      </x:c>
      <x:c r="AF7" s="666">
        <x:f>AVERAGE(U7:AD7)</x:f>
        <x:v>18385.473999999998</x:v>
      </x:c>
      <x:c r="AG7" s="813">
        <x:f t="shared" ref="AG7:AG12" si="17">+SUM(U7:AF7)</x:f>
        <x:v>220625.68799999997</x:v>
      </x:c>
      <x:c r="AH7" s="772">
        <x:f>$AT$7/12</x:f>
        <x:v>23901.1162</x:v>
      </x:c>
      <x:c r="AI7" s="772">
        <x:f t="shared" ref="AI7:AN7" si="18">$AT$7/12</x:f>
        <x:v>23901.1162</x:v>
      </x:c>
      <x:c r="AJ7" s="772">
        <x:f t="shared" si="18"/>
        <x:v>23901.1162</x:v>
      </x:c>
      <x:c r="AK7" s="772">
        <x:f t="shared" si="18"/>
        <x:v>23901.1162</x:v>
      </x:c>
      <x:c r="AL7" s="772">
        <x:f t="shared" si="18"/>
        <x:v>23901.1162</x:v>
      </x:c>
      <x:c r="AM7" s="772">
        <x:f t="shared" si="18"/>
        <x:v>23901.1162</x:v>
      </x:c>
      <x:c r="AN7" s="772">
        <x:f t="shared" si="18"/>
        <x:v>23901.1162</x:v>
      </x:c>
      <x:c r="AO7" s="772">
        <x:f>$AT$7/12*2</x:f>
        <x:v>47802.232400000001</x:v>
      </x:c>
      <x:c r="AP7" s="772">
        <x:f t="shared" ref="AP7:AS7" si="19">$AT$7/12*2</x:f>
        <x:v>47802.232400000001</x:v>
      </x:c>
      <x:c r="AQ7" s="772">
        <x:f t="shared" si="19"/>
        <x:v>47802.232400000001</x:v>
      </x:c>
      <x:c r="AR7" s="772">
        <x:f>$AT$7/12*2</x:f>
        <x:v>47802.232400000001</x:v>
      </x:c>
      <x:c r="AS7" s="772">
        <x:f t="shared" si="19"/>
        <x:v>47802.232400000001</x:v>
      </x:c>
      <x:c r="AT7" s="813">
        <x:f>$AG$7*(1+$N$21)</x:f>
        <x:v>286813.39439999999</x:v>
      </x:c>
      <x:c r="AU7" s="773"/>
    </x:row>
    <x:row r="8" spans="2:47" s="769" customFormat="1" ht="24" customHeight="1">
      <x:c r="B8" s="488" t="s">
        <x:v>31</x:v>
      </x:c>
      <x:c r="C8" s="316">
        <x:f>AH9</x:f>
        <x:v>8755.6760416666675</x:v>
      </x:c>
      <x:c r="D8" s="316">
        <x:f t="shared" si="5"/>
        <x:v>8755.6760416666675</x:v>
      </x:c>
      <x:c r="E8" s="316">
        <x:f t="shared" si="6"/>
        <x:v>8755.6760416666675</x:v>
      </x:c>
      <x:c r="F8" s="316">
        <x:f t="shared" si="7"/>
        <x:v>8755.6760416666675</x:v>
      </x:c>
      <x:c r="G8" s="316">
        <x:f t="shared" si="8"/>
        <x:v>8755.6760416666675</x:v>
      </x:c>
      <x:c r="H8" s="316">
        <x:f t="shared" si="9"/>
        <x:v>8755.6760416666675</x:v>
      </x:c>
      <x:c r="I8" s="316">
        <x:f t="shared" si="10"/>
        <x:v>8755.6760416666675</x:v>
      </x:c>
      <x:c r="J8" s="316">
        <x:f t="shared" si="11"/>
        <x:v>17511.352083333335</x:v>
      </x:c>
      <x:c r="K8" s="316">
        <x:f t="shared" si="12"/>
        <x:v>17511.352083333335</x:v>
      </x:c>
      <x:c r="L8" s="316">
        <x:f t="shared" si="13"/>
        <x:v>17511.352083333335</x:v>
      </x:c>
      <x:c r="M8" s="316">
        <x:f t="shared" si="14"/>
        <x:v>17511.352083333335</x:v>
      </x:c>
      <x:c r="N8" s="316">
        <x:f t="shared" si="15"/>
        <x:v>17511.352083333335</x:v>
      </x:c>
      <x:c r="O8" s="572">
        <x:f t="shared" si="16"/>
        <x:v>148846.49270833333</x:v>
      </x:c>
      <x:c r="T8" s="429" t="s">
        <x:v>30</x:v>
      </x:c>
      <x:c r="U8" s="725"/>
      <x:c r="V8" s="681"/>
      <x:c r="W8" s="681"/>
      <x:c r="X8" s="681"/>
      <x:c r="Y8" s="681"/>
      <x:c r="Z8" s="681"/>
      <x:c r="AA8" s="681"/>
      <x:c r="AB8" s="681"/>
      <x:c r="AC8" s="681"/>
      <x:c r="AD8" s="681"/>
      <x:c r="AE8" s="666"/>
      <x:c r="AF8" s="666"/>
      <x:c r="AG8" s="813">
        <x:f t="shared" si="17"/>
        <x:v>0</x:v>
      </x:c>
      <x:c r="AH8" s="725"/>
      <x:c r="AI8" s="681"/>
      <x:c r="AJ8" s="681"/>
      <x:c r="AK8" s="681"/>
      <x:c r="AL8" s="681"/>
      <x:c r="AM8" s="681"/>
      <x:c r="AN8" s="681"/>
      <x:c r="AO8" s="681"/>
      <x:c r="AP8" s="681"/>
      <x:c r="AQ8" s="681"/>
      <x:c r="AR8" s="666"/>
      <x:c r="AS8" s="666"/>
      <x:c r="AT8" s="813">
        <x:f>SUM(AH8:AS8)</x:f>
        <x:v>0</x:v>
      </x:c>
      <x:c r="AU8" s="773"/>
    </x:row>
    <x:row r="9" spans="2:47" s="769" customFormat="1" ht="24" customHeight="1">
      <x:c r="B9" s="488" t="s">
        <x:v>32</x:v>
      </x:c>
      <x:c r="C9" s="316">
        <x:f>AH10</x:f>
        <x:v>32447.412400000001</x:v>
      </x:c>
      <x:c r="D9" s="316">
        <x:f>AI10</x:f>
        <x:v>32447.412400000001</x:v>
      </x:c>
      <x:c r="E9" s="316">
        <x:f t="shared" si="6"/>
        <x:v>32447.412400000001</x:v>
      </x:c>
      <x:c r="F9" s="316">
        <x:f t="shared" si="7"/>
        <x:v>32447.412400000001</x:v>
      </x:c>
      <x:c r="G9" s="316">
        <x:f t="shared" si="8"/>
        <x:v>32447.412400000001</x:v>
      </x:c>
      <x:c r="H9" s="316">
        <x:f t="shared" si="9"/>
        <x:v>32447.412400000001</x:v>
      </x:c>
      <x:c r="I9" s="316">
        <x:f t="shared" si="10"/>
        <x:v>32447.412400000001</x:v>
      </x:c>
      <x:c r="J9" s="316">
        <x:f t="shared" si="11"/>
        <x:v>64894.824800000002</x:v>
      </x:c>
      <x:c r="K9" s="316">
        <x:f t="shared" si="12"/>
        <x:v>64894.824800000002</x:v>
      </x:c>
      <x:c r="L9" s="316">
        <x:f t="shared" si="13"/>
        <x:v>64894.824800000002</x:v>
      </x:c>
      <x:c r="M9" s="316">
        <x:f t="shared" si="14"/>
        <x:v>64894.824800000002</x:v>
      </x:c>
      <x:c r="N9" s="316">
        <x:f t="shared" si="15"/>
        <x:v>64894.824800000002</x:v>
      </x:c>
      <x:c r="O9" s="572">
        <x:f t="shared" si="16"/>
        <x:v>551606.01080000005</x:v>
      </x:c>
      <x:c r="T9" s="429" t="s">
        <x:v>31</x:v>
      </x:c>
      <x:c r="U9" s="666">
        <x:v>2005</x:v>
      </x:c>
      <x:c r="V9" s="681"/>
      <x:c r="W9" s="666">
        <x:v>9024</x:v>
      </x:c>
      <x:c r="X9" s="666">
        <x:v>9024</x:v>
      </x:c>
      <x:c r="Y9" s="666">
        <x:v>6016</x:v>
      </x:c>
      <x:c r="Z9" s="666">
        <x:v>6016</x:v>
      </x:c>
      <x:c r="AA9" s="666">
        <x:v>9024</x:v>
      </x:c>
      <x:c r="AB9" s="681"/>
      <x:c r="AC9" s="666">
        <x:v>7509.6600000000035</x:v>
      </x:c>
      <x:c r="AD9" s="666">
        <x:v>16038.64</x:v>
      </x:c>
      <x:c r="AE9" s="666">
        <x:f t="shared" ref="AE9:AE11" si="20">AVERAGE(U9:AD9)</x:f>
        <x:v>8082.1625000000004</x:v>
      </x:c>
      <x:c r="AF9" s="666">
        <x:f t="shared" ref="AF9:AF11" si="21">AVERAGE(U9:AD9)</x:f>
        <x:v>8082.1625000000004</x:v>
      </x:c>
      <x:c r="AG9" s="813">
        <x:f t="shared" si="17"/>
        <x:v>80821.625000000015</x:v>
      </x:c>
      <x:c r="AH9" s="772">
        <x:f>$AT$9/12</x:f>
        <x:v>8755.6760416666675</x:v>
      </x:c>
      <x:c r="AI9" s="772">
        <x:f t="shared" ref="AI9:AN9" si="22">$AT$9/12</x:f>
        <x:v>8755.6760416666675</x:v>
      </x:c>
      <x:c r="AJ9" s="772">
        <x:f t="shared" si="22"/>
        <x:v>8755.6760416666675</x:v>
      </x:c>
      <x:c r="AK9" s="772">
        <x:f t="shared" si="22"/>
        <x:v>8755.6760416666675</x:v>
      </x:c>
      <x:c r="AL9" s="772">
        <x:f t="shared" si="22"/>
        <x:v>8755.6760416666675</x:v>
      </x:c>
      <x:c r="AM9" s="772">
        <x:f t="shared" si="22"/>
        <x:v>8755.6760416666675</x:v>
      </x:c>
      <x:c r="AN9" s="772">
        <x:f t="shared" si="22"/>
        <x:v>8755.6760416666675</x:v>
      </x:c>
      <x:c r="AO9" s="772">
        <x:f>$AT$9/12*2</x:f>
        <x:v>17511.352083333335</x:v>
      </x:c>
      <x:c r="AP9" s="772">
        <x:f t="shared" ref="AP9:AS9" si="23">$AT$9/12*2</x:f>
        <x:v>17511.352083333335</x:v>
      </x:c>
      <x:c r="AQ9" s="772">
        <x:f t="shared" si="23"/>
        <x:v>17511.352083333335</x:v>
      </x:c>
      <x:c r="AR9" s="772">
        <x:f t="shared" si="23"/>
        <x:v>17511.352083333335</x:v>
      </x:c>
      <x:c r="AS9" s="772">
        <x:f t="shared" si="23"/>
        <x:v>17511.352083333335</x:v>
      </x:c>
      <x:c r="AT9" s="813">
        <x:f>AG9*(1+N23)</x:f>
        <x:v>105068.11250000002</x:v>
      </x:c>
      <x:c r="AU9" s="773"/>
    </x:row>
    <x:row r="10" spans="2:47" s="769" customFormat="1" ht="24" customHeight="1">
      <x:c r="B10" s="488" t="s">
        <x:v>33</x:v>
      </x:c>
      <x:c r="C10" s="316">
        <x:f>AH11</x:f>
        <x:v>17133.942800000001</x:v>
      </x:c>
      <x:c r="D10" s="316">
        <x:f t="shared" si="5"/>
        <x:v>17133.942800000001</x:v>
      </x:c>
      <x:c r="E10" s="316">
        <x:f t="shared" si="6"/>
        <x:v>17133.942800000001</x:v>
      </x:c>
      <x:c r="F10" s="316">
        <x:f t="shared" si="7"/>
        <x:v>17133.942800000001</x:v>
      </x:c>
      <x:c r="G10" s="316">
        <x:f t="shared" si="8"/>
        <x:v>17133.942800000001</x:v>
      </x:c>
      <x:c r="H10" s="316">
        <x:f t="shared" si="9"/>
        <x:v>17133.942800000001</x:v>
      </x:c>
      <x:c r="I10" s="316">
        <x:f t="shared" si="10"/>
        <x:v>17133.942800000001</x:v>
      </x:c>
      <x:c r="J10" s="316">
        <x:f t="shared" si="11"/>
        <x:v>34267.885600000001</x:v>
      </x:c>
      <x:c r="K10" s="316">
        <x:f t="shared" si="12"/>
        <x:v>34267.885600000001</x:v>
      </x:c>
      <x:c r="L10" s="316">
        <x:f t="shared" si="13"/>
        <x:v>34267.885600000001</x:v>
      </x:c>
      <x:c r="M10" s="316">
        <x:f t="shared" si="14"/>
        <x:v>34267.885600000001</x:v>
      </x:c>
      <x:c r="N10" s="316">
        <x:f t="shared" si="15"/>
        <x:v>34267.885600000001</x:v>
      </x:c>
      <x:c r="O10" s="572">
        <x:f t="shared" si="16"/>
        <x:v>291277.02760000003</x:v>
      </x:c>
      <x:c r="T10" s="429" t="s">
        <x:v>32</x:v>
      </x:c>
      <x:c r="U10" s="666">
        <x:v>12073</x:v>
      </x:c>
      <x:c r="V10" s="666">
        <x:v>20930</x:v>
      </x:c>
      <x:c r="W10" s="666">
        <x:v>31178</x:v>
      </x:c>
      <x:c r="X10" s="666">
        <x:v>23596</x:v>
      </x:c>
      <x:c r="Y10" s="666">
        <x:v>23217</x:v>
      </x:c>
      <x:c r="Z10" s="666">
        <x:v>20991</x:v>
      </x:c>
      <x:c r="AA10" s="666">
        <x:v>47215.640000000014</x:v>
      </x:c>
      <x:c r="AB10" s="666">
        <x:v>7755.0199999999895</x:v>
      </x:c>
      <x:c r="AC10" s="666">
        <x:v>23500.579999999987</x:v>
      </x:c>
      <x:c r="AD10" s="666">
        <x:v>39139.24</x:v>
      </x:c>
      <x:c r="AE10" s="666">
        <x:f t="shared" si="20"/>
        <x:v>24959.547999999999</x:v>
      </x:c>
      <x:c r="AF10" s="666">
        <x:f t="shared" si="21"/>
        <x:v>24959.547999999999</x:v>
      </x:c>
      <x:c r="AG10" s="813">
        <x:f t="shared" si="17"/>
        <x:v>299514.576</x:v>
      </x:c>
      <x:c r="AH10" s="772">
        <x:f>$AT$10/12</x:f>
        <x:v>32447.412400000001</x:v>
      </x:c>
      <x:c r="AI10" s="772">
        <x:f t="shared" ref="AI10:AN10" si="24">$AT$10/12</x:f>
        <x:v>32447.412400000001</x:v>
      </x:c>
      <x:c r="AJ10" s="772">
        <x:f t="shared" si="24"/>
        <x:v>32447.412400000001</x:v>
      </x:c>
      <x:c r="AK10" s="772">
        <x:f t="shared" si="24"/>
        <x:v>32447.412400000001</x:v>
      </x:c>
      <x:c r="AL10" s="772">
        <x:f t="shared" si="24"/>
        <x:v>32447.412400000001</x:v>
      </x:c>
      <x:c r="AM10" s="772">
        <x:f t="shared" si="24"/>
        <x:v>32447.412400000001</x:v>
      </x:c>
      <x:c r="AN10" s="772">
        <x:f t="shared" si="24"/>
        <x:v>32447.412400000001</x:v>
      </x:c>
      <x:c r="AO10" s="772">
        <x:f>$AT$10/12*2</x:f>
        <x:v>64894.824800000002</x:v>
      </x:c>
      <x:c r="AP10" s="772">
        <x:f t="shared" ref="AP10:AS10" si="25">$AT$10/12*2</x:f>
        <x:v>64894.824800000002</x:v>
      </x:c>
      <x:c r="AQ10" s="772">
        <x:f t="shared" si="25"/>
        <x:v>64894.824800000002</x:v>
      </x:c>
      <x:c r="AR10" s="772">
        <x:f t="shared" si="25"/>
        <x:v>64894.824800000002</x:v>
      </x:c>
      <x:c r="AS10" s="772">
        <x:f t="shared" si="25"/>
        <x:v>64894.824800000002</x:v>
      </x:c>
      <x:c r="AT10" s="813">
        <x:f>AG10*(1+N24)</x:f>
        <x:v>389368.94880000001</x:v>
      </x:c>
      <x:c r="AU10" s="773"/>
    </x:row>
    <x:row r="11" spans="2:47" s="769" customFormat="1" ht="24" customHeight="1">
      <x:c r="B11" s="697" t="s">
        <x:v>269</x:v>
      </x:c>
      <x:c r="C11" s="712">
        <x:f>+SUM(C12:C16)</x:f>
        <x:v>13544.631166666668</x:v>
      </x:c>
      <x:c r="D11" s="712">
        <x:f t="shared" ref="D11:N11" si="26">+SUM(D12:D16)</x:f>
        <x:v>13544.631166666668</x:v>
      </x:c>
      <x:c r="E11" s="712">
        <x:f t="shared" si="26"/>
        <x:v>13544.631166666668</x:v>
      </x:c>
      <x:c r="F11" s="712">
        <x:f t="shared" si="26"/>
        <x:v>13544.631166666668</x:v>
      </x:c>
      <x:c r="G11" s="712">
        <x:f t="shared" si="26"/>
        <x:v>13544.631166666668</x:v>
      </x:c>
      <x:c r="H11" s="712">
        <x:f t="shared" si="26"/>
        <x:v>13544.631166666668</x:v>
      </x:c>
      <x:c r="I11" s="712">
        <x:f t="shared" si="26"/>
        <x:v>13544.631166666668</x:v>
      </x:c>
      <x:c r="J11" s="712">
        <x:f t="shared" si="26"/>
        <x:v>27089.262333333336</x:v>
      </x:c>
      <x:c r="K11" s="712">
        <x:f t="shared" si="26"/>
        <x:v>27089.262333333336</x:v>
      </x:c>
      <x:c r="L11" s="712">
        <x:f t="shared" si="26"/>
        <x:v>27089.262333333336</x:v>
      </x:c>
      <x:c r="M11" s="712">
        <x:f t="shared" si="26"/>
        <x:v>27089.262333333336</x:v>
      </x:c>
      <x:c r="N11" s="712">
        <x:f t="shared" si="26"/>
        <x:v>27089.262333333336</x:v>
      </x:c>
      <x:c r="O11" s="583">
        <x:f>SUM(C11:N11)</x:f>
        <x:v>230258.7298333334</x:v>
      </x:c>
      <x:c r="T11" s="429" t="s">
        <x:v>33</x:v>
      </x:c>
      <x:c r="U11" s="666">
        <x:v>5221</x:v>
      </x:c>
      <x:c r="V11" s="666">
        <x:v>12863.810000000001</x:v>
      </x:c>
      <x:c r="W11" s="666">
        <x:v>15032.999999999996</x:v>
      </x:c>
      <x:c r="X11" s="666">
        <x:v>13527.5</x:v>
      </x:c>
      <x:c r="Y11" s="666">
        <x:v>21535.5</x:v>
      </x:c>
      <x:c r="Z11" s="666">
        <x:v>18252.5</x:v>
      </x:c>
      <x:c r="AA11" s="666">
        <x:v>16154.25</x:v>
      </x:c>
      <x:c r="AB11" s="666">
        <x:v>8515.5</x:v>
      </x:c>
      <x:c r="AC11" s="666">
        <x:v>8402</x:v>
      </x:c>
      <x:c r="AD11" s="666">
        <x:v>12294.5</x:v>
      </x:c>
      <x:c r="AE11" s="666">
        <x:f t="shared" si="20"/>
        <x:v>13179.956</x:v>
      </x:c>
      <x:c r="AF11" s="666">
        <x:f t="shared" si="21"/>
        <x:v>13179.956</x:v>
      </x:c>
      <x:c r="AG11" s="813">
        <x:f t="shared" si="17"/>
        <x:v>158159.47200000001</x:v>
      </x:c>
      <x:c r="AH11" s="772">
        <x:f>$AT$11/12</x:f>
        <x:v>17133.942800000001</x:v>
      </x:c>
      <x:c r="AI11" s="772">
        <x:f t="shared" ref="AI11:AN11" si="27">$AT$11/12</x:f>
        <x:v>17133.942800000001</x:v>
      </x:c>
      <x:c r="AJ11" s="772">
        <x:f t="shared" si="27"/>
        <x:v>17133.942800000001</x:v>
      </x:c>
      <x:c r="AK11" s="772">
        <x:f t="shared" si="27"/>
        <x:v>17133.942800000001</x:v>
      </x:c>
      <x:c r="AL11" s="772">
        <x:f t="shared" si="27"/>
        <x:v>17133.942800000001</x:v>
      </x:c>
      <x:c r="AM11" s="772">
        <x:f t="shared" si="27"/>
        <x:v>17133.942800000001</x:v>
      </x:c>
      <x:c r="AN11" s="772">
        <x:f t="shared" si="27"/>
        <x:v>17133.942800000001</x:v>
      </x:c>
      <x:c r="AO11" s="772">
        <x:f>$AT$11/12*2</x:f>
        <x:v>34267.885600000001</x:v>
      </x:c>
      <x:c r="AP11" s="772">
        <x:f t="shared" ref="AP11:AS11" si="28">$AT$11/12*2</x:f>
        <x:v>34267.885600000001</x:v>
      </x:c>
      <x:c r="AQ11" s="772">
        <x:f t="shared" si="28"/>
        <x:v>34267.885600000001</x:v>
      </x:c>
      <x:c r="AR11" s="772">
        <x:f t="shared" si="28"/>
        <x:v>34267.885600000001</x:v>
      </x:c>
      <x:c r="AS11" s="772">
        <x:f t="shared" si="28"/>
        <x:v>34267.885600000001</x:v>
      </x:c>
      <x:c r="AT11" s="813">
        <x:f>AG11*(1+N24)</x:f>
        <x:v>205607.31360000002</x:v>
      </x:c>
      <x:c r="AU11" s="773"/>
    </x:row>
    <x:row r="12" spans="2:47" s="769" customFormat="1" ht="24" customHeight="1">
      <x:c r="B12" s="488" t="s">
        <x:v>105</x:v>
      </x:c>
      <x:c r="C12" s="316">
        <x:f>$K$29/12</x:f>
        <x:v>2422.1199166666665</x:v>
      </x:c>
      <x:c r="D12" s="316">
        <x:f t="shared" ref="D12:I12" si="29">$K$29/12</x:f>
        <x:v>2422.1199166666665</x:v>
      </x:c>
      <x:c r="E12" s="316">
        <x:f t="shared" si="29"/>
        <x:v>2422.1199166666665</x:v>
      </x:c>
      <x:c r="F12" s="316">
        <x:f t="shared" si="29"/>
        <x:v>2422.1199166666665</x:v>
      </x:c>
      <x:c r="G12" s="316">
        <x:f t="shared" si="29"/>
        <x:v>2422.1199166666665</x:v>
      </x:c>
      <x:c r="H12" s="316">
        <x:f t="shared" si="29"/>
        <x:v>2422.1199166666665</x:v>
      </x:c>
      <x:c r="I12" s="316">
        <x:f t="shared" si="29"/>
        <x:v>2422.1199166666665</x:v>
      </x:c>
      <x:c r="J12" s="316">
        <x:f>$K$29/12*2</x:f>
        <x:v>4844.2398333333331</x:v>
      </x:c>
      <x:c r="K12" s="316">
        <x:f t="shared" ref="K12:N12" si="30">$K$29/12*2</x:f>
        <x:v>4844.2398333333331</x:v>
      </x:c>
      <x:c r="L12" s="316">
        <x:f t="shared" si="30"/>
        <x:v>4844.2398333333331</x:v>
      </x:c>
      <x:c r="M12" s="316">
        <x:f t="shared" si="30"/>
        <x:v>4844.2398333333331</x:v>
      </x:c>
      <x:c r="N12" s="316">
        <x:f t="shared" si="30"/>
        <x:v>4844.2398333333331</x:v>
      </x:c>
      <x:c r="O12" s="572">
        <x:f>+SUM(C12:N12)</x:f>
        <x:v>41176.038583333335</x:v>
      </x:c>
      <x:c r="T12" s="429" t="s">
        <x:v>34</x:v>
      </x:c>
      <x:c r="U12" s="681"/>
      <x:c r="V12" s="681"/>
      <x:c r="W12" s="666">
        <x:v>1796.4</x:v>
      </x:c>
      <x:c r="X12" s="666">
        <x:v>1796.4</x:v>
      </x:c>
      <x:c r="Y12" s="681"/>
      <x:c r="Z12" s="681"/>
      <x:c r="AA12" s="681"/>
      <x:c r="AB12" s="681"/>
      <x:c r="AC12" s="681"/>
      <x:c r="AD12" s="681"/>
      <x:c r="AE12" s="681"/>
      <x:c r="AF12" s="681"/>
      <x:c r="AG12" s="813">
        <x:f t="shared" si="17"/>
        <x:v>3592.8</x:v>
      </x:c>
      <x:c r="AH12" s="681"/>
      <x:c r="AI12" s="681"/>
      <x:c r="AJ12" s="666"/>
      <x:c r="AK12" s="666"/>
      <x:c r="AL12" s="681"/>
      <x:c r="AM12" s="681"/>
      <x:c r="AN12" s="681"/>
      <x:c r="AO12" s="681"/>
      <x:c r="AP12" s="681"/>
      <x:c r="AQ12" s="681"/>
      <x:c r="AR12" s="681"/>
      <x:c r="AS12" s="681"/>
      <x:c r="AT12" s="813">
        <x:f>AG12*(1+N24)</x:f>
        <x:v>4670.6400000000003</x:v>
      </x:c>
      <x:c r="AU12" s="773"/>
    </x:row>
    <x:row r="13" spans="2:47" s="769" customFormat="1" ht="24" customHeight="1">
      <x:c r="B13" s="488" t="s">
        <x:v>106</x:v>
      </x:c>
      <x:c r="C13" s="316">
        <x:f>26709/12</x:f>
        <x:v>2225.75</x:v>
      </x:c>
      <x:c r="D13" s="316">
        <x:f t="shared" ref="D13:I13" si="31">26709/12</x:f>
        <x:v>2225.75</x:v>
      </x:c>
      <x:c r="E13" s="316">
        <x:f t="shared" si="31"/>
        <x:v>2225.75</x:v>
      </x:c>
      <x:c r="F13" s="316">
        <x:f t="shared" si="31"/>
        <x:v>2225.75</x:v>
      </x:c>
      <x:c r="G13" s="316">
        <x:f t="shared" si="31"/>
        <x:v>2225.75</x:v>
      </x:c>
      <x:c r="H13" s="316">
        <x:f t="shared" si="31"/>
        <x:v>2225.75</x:v>
      </x:c>
      <x:c r="I13" s="316">
        <x:f t="shared" si="31"/>
        <x:v>2225.75</x:v>
      </x:c>
      <x:c r="J13" s="316">
        <x:f>26709/12*2</x:f>
        <x:v>4451.5</x:v>
      </x:c>
      <x:c r="K13" s="316">
        <x:f t="shared" ref="K13:N13" si="32">26709/12*2</x:f>
        <x:v>4451.5</x:v>
      </x:c>
      <x:c r="L13" s="316">
        <x:f t="shared" si="32"/>
        <x:v>4451.5</x:v>
      </x:c>
      <x:c r="M13" s="316">
        <x:f t="shared" si="32"/>
        <x:v>4451.5</x:v>
      </x:c>
      <x:c r="N13" s="316">
        <x:f t="shared" si="32"/>
        <x:v>4451.5</x:v>
      </x:c>
      <x:c r="O13" s="572">
        <x:f t="shared" ref="O13:O16" si="33">+SUM(C13:N13)</x:f>
        <x:v>37837.75</x:v>
      </x:c>
      <x:c r="T13" s="473"/>
      <x:c r="U13" s="473"/>
      <x:c r="V13" s="473"/>
      <x:c r="W13" s="473"/>
      <x:c r="X13" s="473"/>
      <x:c r="Y13" s="473"/>
      <x:c r="Z13" s="473"/>
      <x:c r="AA13" s="473"/>
      <x:c r="AB13" s="473"/>
      <x:c r="AC13" s="473"/>
      <x:c r="AD13" s="473"/>
      <x:c r="AE13" s="411" t="s">
        <x:v>288</x:v>
      </x:c>
      <x:c r="AF13" s="411" t="s">
        <x:v>288</x:v>
      </x:c>
      <x:c r="AG13" s="813">
        <x:f>+SUM(AG7:AG12)</x:f>
        <x:v>762714.16100000008</x:v>
      </x:c>
      <x:c r="AH13" s="473"/>
      <x:c r="AI13" s="473"/>
      <x:c r="AJ13" s="473"/>
      <x:c r="AK13" s="473"/>
      <x:c r="AL13" s="473"/>
      <x:c r="AM13" s="473"/>
      <x:c r="AN13" s="473"/>
      <x:c r="AO13" s="473"/>
      <x:c r="AP13" s="473"/>
      <x:c r="AQ13" s="473"/>
      <x:c r="AR13" s="473"/>
      <x:c r="AS13" s="473"/>
      <x:c r="AT13" s="813">
        <x:f>+SUM(AT7:AT12)</x:f>
        <x:v>991528.40930000006</x:v>
      </x:c>
      <x:c r="AU13" s="490">
        <x:f>+AT13/AG13-1</x:f>
        <x:v>0.30000000000000004</x:v>
      </x:c>
    </x:row>
    <x:row r="14" spans="2:47" s="769" customFormat="1" ht="24" customHeight="1">
      <x:c r="B14" s="488" t="s">
        <x:v>107</x:v>
      </x:c>
      <x:c r="C14" s="316">
        <x:f>$K$30/12</x:f>
        <x:v>2506.8170833333334</x:v>
      </x:c>
      <x:c r="D14" s="316">
        <x:f t="shared" ref="D14:I14" si="34">$K$30/12</x:f>
        <x:v>2506.8170833333334</x:v>
      </x:c>
      <x:c r="E14" s="316">
        <x:f t="shared" si="34"/>
        <x:v>2506.8170833333334</x:v>
      </x:c>
      <x:c r="F14" s="316">
        <x:f t="shared" si="34"/>
        <x:v>2506.8170833333334</x:v>
      </x:c>
      <x:c r="G14" s="316">
        <x:f t="shared" si="34"/>
        <x:v>2506.8170833333334</x:v>
      </x:c>
      <x:c r="H14" s="316">
        <x:f t="shared" si="34"/>
        <x:v>2506.8170833333334</x:v>
      </x:c>
      <x:c r="I14" s="316">
        <x:f t="shared" si="34"/>
        <x:v>2506.8170833333334</x:v>
      </x:c>
      <x:c r="J14" s="316">
        <x:f>$K$30/12*2</x:f>
        <x:v>5013.6341666666667</x:v>
      </x:c>
      <x:c r="K14" s="316">
        <x:f t="shared" ref="K14:N14" si="35">$K$30/12*2</x:f>
        <x:v>5013.6341666666667</x:v>
      </x:c>
      <x:c r="L14" s="316">
        <x:f t="shared" si="35"/>
        <x:v>5013.6341666666667</x:v>
      </x:c>
      <x:c r="M14" s="316">
        <x:f t="shared" si="35"/>
        <x:v>5013.6341666666667</x:v>
      </x:c>
      <x:c r="N14" s="316">
        <x:f t="shared" si="35"/>
        <x:v>5013.6341666666667</x:v>
      </x:c>
      <x:c r="O14" s="572">
        <x:f t="shared" si="33"/>
        <x:v>42615.890416666662</x:v>
      </x:c>
    </x:row>
    <x:row r="15" spans="2:47" s="769" customFormat="1" ht="24" customHeight="1">
      <x:c r="B15" s="488" t="s">
        <x:v>108</x:v>
      </x:c>
      <x:c r="C15" s="316">
        <x:f>$K$31/12</x:f>
        <x:v>3307.4665</x:v>
      </x:c>
      <x:c r="D15" s="316">
        <x:f t="shared" ref="D15:I15" si="36">$K$31/12</x:f>
        <x:v>3307.4665</x:v>
      </x:c>
      <x:c r="E15" s="316">
        <x:f t="shared" si="36"/>
        <x:v>3307.4665</x:v>
      </x:c>
      <x:c r="F15" s="316">
        <x:f t="shared" si="36"/>
        <x:v>3307.4665</x:v>
      </x:c>
      <x:c r="G15" s="316">
        <x:f t="shared" si="36"/>
        <x:v>3307.4665</x:v>
      </x:c>
      <x:c r="H15" s="316">
        <x:f t="shared" si="36"/>
        <x:v>3307.4665</x:v>
      </x:c>
      <x:c r="I15" s="316">
        <x:f t="shared" si="36"/>
        <x:v>3307.4665</x:v>
      </x:c>
      <x:c r="J15" s="316">
        <x:f>$K$31/12*2</x:f>
        <x:v>6614.933</x:v>
      </x:c>
      <x:c r="K15" s="316">
        <x:f t="shared" ref="K15:N15" si="37">$K$31/12*2</x:f>
        <x:v>6614.933</x:v>
      </x:c>
      <x:c r="L15" s="316">
        <x:f t="shared" si="37"/>
        <x:v>6614.933</x:v>
      </x:c>
      <x:c r="M15" s="316">
        <x:f t="shared" si="37"/>
        <x:v>6614.933</x:v>
      </x:c>
      <x:c r="N15" s="316">
        <x:f t="shared" si="37"/>
        <x:v>6614.933</x:v>
      </x:c>
      <x:c r="O15" s="572">
        <x:f t="shared" si="33"/>
        <x:v>56226.930499999988</x:v>
      </x:c>
    </x:row>
    <x:row r="16" spans="2:47" s="769" customFormat="1" ht="24" customHeight="1">
      <x:c r="B16" s="488" t="s">
        <x:v>56</x:v>
      </x:c>
      <x:c r="C16" s="316">
        <x:f>$K$32/12</x:f>
        <x:v>3082.4776666666671</x:v>
      </x:c>
      <x:c r="D16" s="316">
        <x:f t="shared" ref="D16:I16" si="38">$K$32/12</x:f>
        <x:v>3082.4776666666671</x:v>
      </x:c>
      <x:c r="E16" s="316">
        <x:f t="shared" si="38"/>
        <x:v>3082.4776666666671</x:v>
      </x:c>
      <x:c r="F16" s="316">
        <x:f t="shared" si="38"/>
        <x:v>3082.4776666666671</x:v>
      </x:c>
      <x:c r="G16" s="316">
        <x:f t="shared" si="38"/>
        <x:v>3082.4776666666671</x:v>
      </x:c>
      <x:c r="H16" s="316">
        <x:f t="shared" si="38"/>
        <x:v>3082.4776666666671</x:v>
      </x:c>
      <x:c r="I16" s="316">
        <x:f t="shared" si="38"/>
        <x:v>3082.4776666666671</x:v>
      </x:c>
      <x:c r="J16" s="316">
        <x:f>$K$32/12*2</x:f>
        <x:v>6164.9553333333342</x:v>
      </x:c>
      <x:c r="K16" s="316">
        <x:f t="shared" ref="K16:N16" si="39">$K$32/12*2</x:f>
        <x:v>6164.9553333333342</x:v>
      </x:c>
      <x:c r="L16" s="316">
        <x:f t="shared" si="39"/>
        <x:v>6164.9553333333342</x:v>
      </x:c>
      <x:c r="M16" s="316">
        <x:f t="shared" si="39"/>
        <x:v>6164.9553333333342</x:v>
      </x:c>
      <x:c r="N16" s="316">
        <x:f t="shared" si="39"/>
        <x:v>6164.9553333333342</x:v>
      </x:c>
      <x:c r="O16" s="572">
        <x:f t="shared" si="33"/>
        <x:v>52402.120333333332</x:v>
      </x:c>
    </x:row>
    <x:row r="19" spans="2:14" s="769" customFormat="1" ht="13.5">
      <x:c r="B19" s="773"/>
      <x:c r="C19" s="773"/>
      <x:c r="D19" s="773"/>
      <x:c r="E19" s="773"/>
      <x:c r="F19" s="773"/>
      <x:c r="G19" s="773"/>
      <x:c r="H19" s="773"/>
      <x:c r="I19" s="1387" t="s">
        <x:v>270</x:v>
      </x:c>
      <x:c r="J19" s="1387"/>
      <x:c r="K19" s="773"/>
      <x:c r="L19" s="773"/>
    </x:row>
    <x:row r="20" spans="2:14" s="769" customFormat="1" ht="54">
      <x:c r="B20" s="396" t="s">
        <x:v>271</x:v>
      </x:c>
      <x:c r="C20" s="1375" t="s">
        <x:v>272</x:v>
      </x:c>
      <x:c r="D20" s="1375"/>
      <x:c r="E20" s="1375"/>
      <x:c r="F20" s="1375"/>
      <x:c r="G20" s="1375" t="s">
        <x:v>273</x:v>
      </x:c>
      <x:c r="H20" s="1375"/>
      <x:c r="I20" s="396">
        <x:v>2024</x:v>
      </x:c>
      <x:c r="J20" s="396">
        <x:v>2025</x:v>
      </x:c>
      <x:c r="K20" s="515" t="s">
        <x:v>284</x:v>
      </x:c>
      <x:c r="L20" s="515" t="s">
        <x:v>282</x:v>
      </x:c>
      <x:c r="M20" s="515" t="s">
        <x:v>283</x:v>
      </x:c>
      <x:c r="N20" s="515" t="s">
        <x:v>285</x:v>
      </x:c>
    </x:row>
    <x:row r="21" spans="2:14" s="628" customFormat="1" ht="25.15" customHeight="1">
      <x:c r="B21" s="1386" t="s">
        <x:v>266</x:v>
      </x:c>
      <x:c r="C21" s="1383" t="s">
        <x:v>29</x:v>
      </x:c>
      <x:c r="D21" s="1383"/>
      <x:c r="E21" s="1383"/>
      <x:c r="F21" s="1383"/>
      <x:c r="G21" s="1382" t="s">
        <x:v>274</x:v>
      </x:c>
      <x:c r="H21" s="1382"/>
      <x:c r="I21" s="725">
        <x:v>200</x:v>
      </x:c>
      <x:c r="J21" s="725">
        <x:v>300</x:v>
      </x:c>
      <x:c r="K21" s="725">
        <x:f>J21+(J21*N21)</x:f>
        <x:v>390</x:v>
      </x:c>
      <x:c r="L21" s="489">
        <x:f>+J21/I21-1</x:f>
        <x:v>0.5</x:v>
      </x:c>
      <x:c r="M21" s="1385">
        <x:f>+AVERAGE(L21:L22)</x:f>
        <x:v>0.74975000000000003</x:v>
      </x:c>
      <x:c r="N21" s="1378">
        <x:v>0.3</x:v>
      </x:c>
    </x:row>
    <x:row r="22" spans="2:14" s="628" customFormat="1" ht="25.15" customHeight="1">
      <x:c r="B22" s="1386"/>
      <x:c r="C22" s="1383" t="s">
        <x:v>275</x:v>
      </x:c>
      <x:c r="D22" s="1383"/>
      <x:c r="E22" s="1383"/>
      <x:c r="F22" s="1383"/>
      <x:c r="G22" s="1382" t="s">
        <x:v>274</x:v>
      </x:c>
      <x:c r="H22" s="1382"/>
      <x:c r="I22" s="725">
        <x:v>1500</x:v>
      </x:c>
      <x:c r="J22" s="725">
        <x:v>2999.25</x:v>
      </x:c>
      <x:c r="K22" s="725">
        <x:f>J22+(J22*N21)</x:f>
        <x:v>3899.0250000000001</x:v>
      </x:c>
      <x:c r="L22" s="489">
        <x:f t="shared" ref="L22:L28" si="40">+J22/I22-1</x:f>
        <x:v>0.99950000000000006</x:v>
      </x:c>
      <x:c r="M22" s="1382"/>
      <x:c r="N22" s="1379"/>
    </x:row>
    <x:row r="23" spans="2:14" s="628" customFormat="1" ht="25.15" customHeight="1">
      <x:c r="B23" s="746" t="s">
        <x:v>276</x:v>
      </x:c>
      <x:c r="C23" s="1383" t="s">
        <x:v>276</x:v>
      </x:c>
      <x:c r="D23" s="1383"/>
      <x:c r="E23" s="1383"/>
      <x:c r="F23" s="1383"/>
      <x:c r="G23" s="1382" t="s">
        <x:v>274</x:v>
      </x:c>
      <x:c r="H23" s="1382"/>
      <x:c r="I23" s="725">
        <x:v>2005</x:v>
      </x:c>
      <x:c r="J23" s="725">
        <x:v>4009.66</x:v>
      </x:c>
      <x:c r="K23" s="725">
        <x:f>J23+(J23*N23)</x:f>
        <x:v>5212.558</x:v>
      </x:c>
      <x:c r="L23" s="489">
        <x:f>+J23/I23-1</x:f>
        <x:v>0.99983042394014965</x:v>
      </x:c>
      <x:c r="M23" s="528">
        <x:f>+L23</x:f>
        <x:v>0.99983042394014965</x:v>
      </x:c>
      <x:c r="N23" s="588">
        <x:v>0.3</x:v>
      </x:c>
    </x:row>
    <x:row r="24" spans="2:14" s="628" customFormat="1" ht="25.15" customHeight="1">
      <x:c r="B24" s="1386" t="s">
        <x:v>32</x:v>
      </x:c>
      <x:c r="C24" s="1383" t="s">
        <x:v>277</x:v>
      </x:c>
      <x:c r="D24" s="1383"/>
      <x:c r="E24" s="1383"/>
      <x:c r="F24" s="1383"/>
      <x:c r="G24" s="1382" t="s">
        <x:v>274</x:v>
      </x:c>
      <x:c r="H24" s="1382"/>
      <x:c r="I24" s="725">
        <x:v>368</x:v>
      </x:c>
      <x:c r="J24" s="725">
        <x:v>735.81</x:v>
      </x:c>
      <x:c r="K24" s="725">
        <x:f>J24+(J24*N24)</x:f>
        <x:v>956.55299999999988</x:v>
      </x:c>
      <x:c r="L24" s="489">
        <x:f t="shared" si="40"/>
        <x:v>0.99948369565217376</x:v>
      </x:c>
      <x:c r="M24" s="1385">
        <x:f>+AVERAGE(L24:L28)</x:f>
        <x:v>0.68569649493019047</x:v>
      </x:c>
      <x:c r="N24" s="1378">
        <x:v>0.3</x:v>
      </x:c>
    </x:row>
    <x:row r="25" spans="2:14" s="628" customFormat="1" ht="25.15" customHeight="1">
      <x:c r="B25" s="1386"/>
      <x:c r="C25" s="1383" t="s">
        <x:v>278</x:v>
      </x:c>
      <x:c r="D25" s="1383"/>
      <x:c r="E25" s="1383"/>
      <x:c r="F25" s="1383"/>
      <x:c r="G25" s="1382" t="s">
        <x:v>274</x:v>
      </x:c>
      <x:c r="H25" s="1382"/>
      <x:c r="I25" s="725">
        <x:v>1170</x:v>
      </x:c>
      <x:c r="J25" s="725">
        <x:v>1580</x:v>
      </x:c>
      <x:c r="K25" s="725">
        <x:f>J25+(J25*N24)</x:f>
        <x:v>2054</x:v>
      </x:c>
      <x:c r="L25" s="489">
        <x:f t="shared" si="40"/>
        <x:v>0.35042735042735051</x:v>
      </x:c>
      <x:c r="M25" s="1382"/>
      <x:c r="N25" s="1379"/>
    </x:row>
    <x:row r="26" spans="2:14" s="628" customFormat="1" ht="25.15" customHeight="1">
      <x:c r="B26" s="1386"/>
      <x:c r="C26" s="1383" t="s">
        <x:v>279</x:v>
      </x:c>
      <x:c r="D26" s="1383"/>
      <x:c r="E26" s="1383"/>
      <x:c r="F26" s="1383"/>
      <x:c r="G26" s="1382" t="s">
        <x:v>274</x:v>
      </x:c>
      <x:c r="H26" s="1382"/>
      <x:c r="I26" s="725">
        <x:v>10</x:v>
      </x:c>
      <x:c r="J26" s="725">
        <x:v>23</x:v>
      </x:c>
      <x:c r="K26" s="725">
        <x:f>J26+(J26*N24)</x:f>
        <x:v>29.9</x:v>
      </x:c>
      <x:c r="L26" s="489">
        <x:f t="shared" si="40"/>
        <x:v>1.2999999999999998</x:v>
      </x:c>
      <x:c r="M26" s="1382"/>
      <x:c r="N26" s="1379"/>
    </x:row>
    <x:row r="27" spans="2:14" s="628" customFormat="1" ht="25.15" customHeight="1">
      <x:c r="B27" s="1386"/>
      <x:c r="C27" s="1383" t="s">
        <x:v>280</x:v>
      </x:c>
      <x:c r="D27" s="1383"/>
      <x:c r="E27" s="1383"/>
      <x:c r="F27" s="1383"/>
      <x:c r="G27" s="1382" t="s">
        <x:v>274</x:v>
      </x:c>
      <x:c r="H27" s="1382"/>
      <x:c r="I27" s="725">
        <x:v>105</x:v>
      </x:c>
      <x:c r="J27" s="725">
        <x:v>150</x:v>
      </x:c>
      <x:c r="K27" s="725">
        <x:f>J27+(J27*N24)</x:f>
        <x:v>195</x:v>
      </x:c>
      <x:c r="L27" s="489">
        <x:f t="shared" si="40"/>
        <x:v>0.4285714285714286</x:v>
      </x:c>
      <x:c r="M27" s="1382"/>
      <x:c r="N27" s="1379"/>
    </x:row>
    <x:row r="28" spans="2:14" s="628" customFormat="1" ht="25.15" customHeight="1">
      <x:c r="B28" s="1386"/>
      <x:c r="C28" s="1384" t="s">
        <x:v>281</x:v>
      </x:c>
      <x:c r="D28" s="1384"/>
      <x:c r="E28" s="1384"/>
      <x:c r="F28" s="1384"/>
      <x:c r="G28" s="1382" t="s">
        <x:v>274</x:v>
      </x:c>
      <x:c r="H28" s="1382"/>
      <x:c r="I28" s="725">
        <x:v>200</x:v>
      </x:c>
      <x:c r="J28" s="725">
        <x:v>270</x:v>
      </x:c>
      <x:c r="K28" s="725">
        <x:f>J28+(J28*N24)</x:f>
        <x:v>351</x:v>
      </x:c>
      <x:c r="L28" s="489">
        <x:f t="shared" si="40"/>
        <x:v>0.35000000000000009</x:v>
      </x:c>
      <x:c r="M28" s="1382"/>
      <x:c r="N28" s="1379"/>
    </x:row>
    <x:row r="29" spans="2:14" s="628" customFormat="1" ht="25.15" customHeight="1">
      <x:c r="B29" s="680" t="s">
        <x:v>105</x:v>
      </x:c>
      <x:c r="C29" s="1384" t="s">
        <x:v>1187</x:v>
      </x:c>
      <x:c r="D29" s="1384"/>
      <x:c r="E29" s="1384"/>
      <x:c r="F29" s="1384"/>
      <x:c r="G29" s="1382" t="s">
        <x:v>1187</x:v>
      </x:c>
      <x:c r="H29" s="1382"/>
      <x:c r="I29" s="725" t="s">
        <x:v>1187</x:v>
      </x:c>
      <x:c r="J29" s="725">
        <x:v>22358.03</x:v>
      </x:c>
      <x:c r="K29" s="725">
        <x:f>+J29*1.3</x:f>
        <x:v>29065.438999999998</x:v>
      </x:c>
      <x:c r="L29" s="791"/>
      <x:c r="M29" s="1380" t="s">
        <x:v>1500</x:v>
      </x:c>
      <x:c r="N29" s="1380"/>
    </x:row>
    <x:row r="30" spans="2:14" s="628" customFormat="1" ht="25.15" customHeight="1">
      <x:c r="B30" s="680" t="s">
        <x:v>107</x:v>
      </x:c>
      <x:c r="C30" s="1384" t="s">
        <x:v>1187</x:v>
      </x:c>
      <x:c r="D30" s="1384"/>
      <x:c r="E30" s="1384"/>
      <x:c r="F30" s="1384"/>
      <x:c r="G30" s="1382" t="s">
        <x:v>1187</x:v>
      </x:c>
      <x:c r="H30" s="1382"/>
      <x:c r="I30" s="725" t="s">
        <x:v>1187</x:v>
      </x:c>
      <x:c r="J30" s="725">
        <x:v>23139.85</x:v>
      </x:c>
      <x:c r="K30" s="725">
        <x:f t="shared" ref="K30:K32" si="41">+J30*1.3</x:f>
        <x:v>30081.805</x:v>
      </x:c>
      <x:c r="L30" s="791"/>
      <x:c r="M30" s="1381"/>
      <x:c r="N30" s="1381"/>
    </x:row>
    <x:row r="31" spans="2:14" s="628" customFormat="1" ht="25.15" customHeight="1">
      <x:c r="B31" s="680" t="s">
        <x:v>108</x:v>
      </x:c>
      <x:c r="C31" s="1384" t="s">
        <x:v>1187</x:v>
      </x:c>
      <x:c r="D31" s="1384"/>
      <x:c r="E31" s="1384"/>
      <x:c r="F31" s="1384"/>
      <x:c r="G31" s="1382" t="s">
        <x:v>1187</x:v>
      </x:c>
      <x:c r="H31" s="1382"/>
      <x:c r="I31" s="725" t="s">
        <x:v>1187</x:v>
      </x:c>
      <x:c r="J31" s="725">
        <x:v>30530.46</x:v>
      </x:c>
      <x:c r="K31" s="725">
        <x:f t="shared" si="41"/>
        <x:v>39689.597999999998</x:v>
      </x:c>
      <x:c r="L31" s="791"/>
      <x:c r="M31" s="1381"/>
      <x:c r="N31" s="1381"/>
    </x:row>
    <x:row r="32" spans="2:14" s="628" customFormat="1" ht="25.15" customHeight="1">
      <x:c r="B32" s="680" t="s">
        <x:v>56</x:v>
      </x:c>
      <x:c r="C32" s="1384" t="s">
        <x:v>1187</x:v>
      </x:c>
      <x:c r="D32" s="1384"/>
      <x:c r="E32" s="1384"/>
      <x:c r="F32" s="1384"/>
      <x:c r="G32" s="1382" t="s">
        <x:v>1187</x:v>
      </x:c>
      <x:c r="H32" s="1382"/>
      <x:c r="I32" s="725" t="s">
        <x:v>1187</x:v>
      </x:c>
      <x:c r="J32" s="725">
        <x:v>28453.64</x:v>
      </x:c>
      <x:c r="K32" s="725">
        <x:f t="shared" si="41"/>
        <x:v>36989.732000000004</x:v>
      </x:c>
      <x:c r="L32" s="791"/>
      <x:c r="M32" s="1381"/>
      <x:c r="N32" s="1381"/>
    </x:row>
    <x:row r="34" spans="2:46" ht="31.5">
      <x:c r="B34" s="26" t="s">
        <x:v>286</x:v>
      </x:c>
      <x:c r="C34" s="26"/>
      <x:c r="T34" s="26" t="s">
        <x:v>292</x:v>
      </x:c>
      <x:c r="AH34" s="26" t="s">
        <x:v>293</x:v>
      </x:c>
    </x:row>
    <x:row r="35" spans="2:46" ht="2.4500000000000002" customHeight="1">
      <x:c r="B35" s="29"/>
      <x:c r="C35" s="29"/>
      <x:c r="D35" s="29"/>
      <x:c r="E35" s="29"/>
      <x:c r="F35" s="29"/>
    </x:row>
    <x:row r="36" spans="2:46" ht="7.9" customHeight="1"/>
    <x:row r="37" spans="2:46" s="769" customFormat="1" ht="24" customHeight="1">
      <x:c r="B37" s="1376">
        <x:v>2025</x:v>
      </x:c>
      <x:c r="C37" s="1376"/>
      <x:c r="D37" s="1376"/>
      <x:c r="E37" s="1376"/>
      <x:c r="F37" s="1376"/>
      <x:c r="G37" s="1376"/>
      <x:c r="H37" s="1376"/>
      <x:c r="I37" s="1376"/>
      <x:c r="J37" s="1376"/>
      <x:c r="K37" s="1376"/>
      <x:c r="L37" s="1376"/>
      <x:c r="M37" s="1376"/>
      <x:c r="N37" s="1376"/>
      <x:c r="O37" s="1388" t="s">
        <x:v>186</x:v>
      </x:c>
      <x:c r="T37" s="1376">
        <x:v>2025</x:v>
      </x:c>
      <x:c r="U37" s="1376"/>
      <x:c r="V37" s="1376"/>
      <x:c r="W37" s="1376"/>
      <x:c r="X37" s="1376"/>
      <x:c r="Y37" s="1376"/>
      <x:c r="Z37" s="1376"/>
      <x:c r="AA37" s="1376"/>
      <x:c r="AB37" s="1376"/>
      <x:c r="AC37" s="1376"/>
      <x:c r="AD37" s="1376"/>
      <x:c r="AE37" s="1376"/>
      <x:c r="AF37" s="1376"/>
      <x:c r="AG37" s="1375" t="s">
        <x:v>186</x:v>
      </x:c>
      <x:c r="AH37" s="1376">
        <x:v>2026</x:v>
      </x:c>
      <x:c r="AI37" s="1376"/>
      <x:c r="AJ37" s="1376"/>
      <x:c r="AK37" s="1376"/>
      <x:c r="AL37" s="1376"/>
      <x:c r="AM37" s="1376"/>
      <x:c r="AN37" s="1376"/>
      <x:c r="AO37" s="1376"/>
      <x:c r="AP37" s="1376"/>
      <x:c r="AQ37" s="1376"/>
      <x:c r="AR37" s="1376"/>
      <x:c r="AS37" s="1376"/>
      <x:c r="AT37" s="1375" t="s">
        <x:v>186</x:v>
      </x:c>
    </x:row>
    <x:row r="38" spans="2:46" s="769" customFormat="1" ht="24" customHeight="1">
      <x:c r="B38" s="396" t="s">
        <x:v>265</x:v>
      </x:c>
      <x:c r="C38" s="429">
        <x:v>1</x:v>
      </x:c>
      <x:c r="D38" s="429">
        <x:v>2</x:v>
      </x:c>
      <x:c r="E38" s="429">
        <x:v>3</x:v>
      </x:c>
      <x:c r="F38" s="429">
        <x:v>4</x:v>
      </x:c>
      <x:c r="G38" s="429">
        <x:v>5</x:v>
      </x:c>
      <x:c r="H38" s="429">
        <x:v>6</x:v>
      </x:c>
      <x:c r="I38" s="429">
        <x:v>7</x:v>
      </x:c>
      <x:c r="J38" s="429">
        <x:v>8</x:v>
      </x:c>
      <x:c r="K38" s="429">
        <x:v>9</x:v>
      </x:c>
      <x:c r="L38" s="429">
        <x:v>10</x:v>
      </x:c>
      <x:c r="M38" s="429">
        <x:v>11</x:v>
      </x:c>
      <x:c r="N38" s="429">
        <x:v>12</x:v>
      </x:c>
      <x:c r="O38" s="1389"/>
      <x:c r="T38" s="396" t="s">
        <x:v>265</x:v>
      </x:c>
      <x:c r="U38" s="429">
        <x:v>1</x:v>
      </x:c>
      <x:c r="V38" s="429">
        <x:v>2</x:v>
      </x:c>
      <x:c r="W38" s="429">
        <x:v>3</x:v>
      </x:c>
      <x:c r="X38" s="429">
        <x:v>4</x:v>
      </x:c>
      <x:c r="Y38" s="429">
        <x:v>5</x:v>
      </x:c>
      <x:c r="Z38" s="429">
        <x:v>6</x:v>
      </x:c>
      <x:c r="AA38" s="429">
        <x:v>7</x:v>
      </x:c>
      <x:c r="AB38" s="429">
        <x:v>8</x:v>
      </x:c>
      <x:c r="AC38" s="429">
        <x:v>9</x:v>
      </x:c>
      <x:c r="AD38" s="429">
        <x:v>10</x:v>
      </x:c>
      <x:c r="AE38" s="429">
        <x:v>11</x:v>
      </x:c>
      <x:c r="AF38" s="429">
        <x:v>12</x:v>
      </x:c>
      <x:c r="AG38" s="1375"/>
      <x:c r="AH38" s="429">
        <x:v>1</x:v>
      </x:c>
      <x:c r="AI38" s="429">
        <x:v>2</x:v>
      </x:c>
      <x:c r="AJ38" s="429">
        <x:v>3</x:v>
      </x:c>
      <x:c r="AK38" s="429">
        <x:v>4</x:v>
      </x:c>
      <x:c r="AL38" s="429">
        <x:v>5</x:v>
      </x:c>
      <x:c r="AM38" s="429">
        <x:v>6</x:v>
      </x:c>
      <x:c r="AN38" s="429">
        <x:v>7</x:v>
      </x:c>
      <x:c r="AO38" s="429">
        <x:v>8</x:v>
      </x:c>
      <x:c r="AP38" s="429">
        <x:v>9</x:v>
      </x:c>
      <x:c r="AQ38" s="429">
        <x:v>10</x:v>
      </x:c>
      <x:c r="AR38" s="429">
        <x:v>11</x:v>
      </x:c>
      <x:c r="AS38" s="429">
        <x:v>12</x:v>
      </x:c>
      <x:c r="AT38" s="1375"/>
    </x:row>
    <x:row r="39" spans="2:46" s="769" customFormat="1" ht="24" customHeight="1">
      <x:c r="B39" s="429" t="s">
        <x:v>35</x:v>
      </x:c>
      <x:c r="C39" s="481">
        <x:f>SUM(C40:C46)</x:f>
        <x:v>20897.966266666666</x:v>
      </x:c>
      <x:c r="D39" s="481">
        <x:f t="shared" ref="D39:N39" si="42">SUM(D40:D46)</x:f>
        <x:v>20897.966266666666</x:v>
      </x:c>
      <x:c r="E39" s="481">
        <x:f t="shared" si="42"/>
        <x:v>20897.966266666666</x:v>
      </x:c>
      <x:c r="F39" s="481">
        <x:f t="shared" si="42"/>
        <x:v>20897.966266666666</x:v>
      </x:c>
      <x:c r="G39" s="481">
        <x:f t="shared" si="42"/>
        <x:v>20897.966266666666</x:v>
      </x:c>
      <x:c r="H39" s="481">
        <x:f t="shared" si="42"/>
        <x:v>20897.966266666666</x:v>
      </x:c>
      <x:c r="I39" s="481">
        <x:f t="shared" si="42"/>
        <x:v>20897.966266666666</x:v>
      </x:c>
      <x:c r="J39" s="481">
        <x:f t="shared" si="42"/>
        <x:v>20897.966266666666</x:v>
      </x:c>
      <x:c r="K39" s="481">
        <x:f t="shared" si="42"/>
        <x:v>41795.932533333333</x:v>
      </x:c>
      <x:c r="L39" s="481">
        <x:f t="shared" si="42"/>
        <x:v>41795.932533333333</x:v>
      </x:c>
      <x:c r="M39" s="481">
        <x:f t="shared" si="42"/>
        <x:v>41795.932533333333</x:v>
      </x:c>
      <x:c r="N39" s="481">
        <x:f t="shared" si="42"/>
        <x:v>41795.932533333333</x:v>
      </x:c>
      <x:c r="O39" s="740">
        <x:f>+SUM(O40:O46)</x:f>
        <x:v>334367.46026666666</x:v>
      </x:c>
      <x:c r="T39" s="429" t="s">
        <x:v>35</x:v>
      </x:c>
      <x:c r="U39" s="449">
        <x:f>SUM(U40:U46)</x:f>
        <x:v>19518.439999999999</x:v>
      </x:c>
      <x:c r="V39" s="449">
        <x:f t="shared" ref="V39:AF39" si="43">SUM(V40:V46)</x:f>
        <x:v>0</x:v>
      </x:c>
      <x:c r="W39" s="449">
        <x:f t="shared" si="43"/>
        <x:v>8573.7000000000007</x:v>
      </x:c>
      <x:c r="X39" s="449">
        <x:f t="shared" si="43"/>
        <x:v>24017.540000000005</x:v>
      </x:c>
      <x:c r="Y39" s="449">
        <x:f t="shared" si="43"/>
        <x:v>0</x:v>
      </x:c>
      <x:c r="Z39" s="449">
        <x:f t="shared" si="43"/>
        <x:v>0</x:v>
      </x:c>
      <x:c r="AA39" s="449">
        <x:f t="shared" si="43"/>
        <x:v>0</x:v>
      </x:c>
      <x:c r="AB39" s="449">
        <x:f t="shared" si="43"/>
        <x:v>40602.299999999996</x:v>
      </x:c>
      <x:c r="AC39" s="449">
        <x:f t="shared" si="43"/>
        <x:v>44002.6</x:v>
      </x:c>
      <x:c r="AD39" s="449">
        <x:f t="shared" si="43"/>
        <x:v>0</x:v>
      </x:c>
      <x:c r="AE39" s="449">
        <x:f t="shared" si="43"/>
        <x:v>28094.862000000001</x:v>
      </x:c>
      <x:c r="AF39" s="449">
        <x:f t="shared" si="43"/>
        <x:v>28094.862000000001</x:v>
      </x:c>
      <x:c r="AG39" s="740">
        <x:f>+SUM(AG40:AG46)</x:f>
        <x:v>192904.304</x:v>
      </x:c>
      <x:c r="AH39" s="449">
        <x:f>SUM(AH40:AH46)</x:f>
        <x:v>20897.966266666666</x:v>
      </x:c>
      <x:c r="AI39" s="449">
        <x:f t="shared" ref="AI39:AS39" si="44">SUM(AI40:AI46)</x:f>
        <x:v>20897.966266666666</x:v>
      </x:c>
      <x:c r="AJ39" s="449">
        <x:f t="shared" si="44"/>
        <x:v>20897.966266666666</x:v>
      </x:c>
      <x:c r="AK39" s="449">
        <x:f t="shared" si="44"/>
        <x:v>20897.966266666666</x:v>
      </x:c>
      <x:c r="AL39" s="449">
        <x:f t="shared" si="44"/>
        <x:v>20897.966266666666</x:v>
      </x:c>
      <x:c r="AM39" s="449">
        <x:f t="shared" si="44"/>
        <x:v>20897.966266666666</x:v>
      </x:c>
      <x:c r="AN39" s="449">
        <x:f t="shared" si="44"/>
        <x:v>20897.966266666666</x:v>
      </x:c>
      <x:c r="AO39" s="449">
        <x:f t="shared" si="44"/>
        <x:v>20897.966266666666</x:v>
      </x:c>
      <x:c r="AP39" s="449">
        <x:f t="shared" si="44"/>
        <x:v>41795.932533333333</x:v>
      </x:c>
      <x:c r="AQ39" s="449">
        <x:f t="shared" si="44"/>
        <x:v>41795.932533333333</x:v>
      </x:c>
      <x:c r="AR39" s="449">
        <x:f t="shared" si="44"/>
        <x:v>41795.932533333333</x:v>
      </x:c>
      <x:c r="AS39" s="449">
        <x:f t="shared" si="44"/>
        <x:v>41795.932533333333</x:v>
      </x:c>
      <x:c r="AT39" s="740">
        <x:f>+SUM(AT40:AT46)</x:f>
        <x:v>250775.59520000004</x:v>
      </x:c>
    </x:row>
    <x:row r="40" spans="2:46" s="769" customFormat="1" ht="24" customHeight="1">
      <x:c r="B40" s="429" t="s">
        <x:v>29</x:v>
      </x:c>
      <x:c r="C40" s="721">
        <x:f>AH40</x:f>
        <x:v>3260.9470833333339</x:v>
      </x:c>
      <x:c r="D40" s="721">
        <x:f t="shared" ref="D40:N40" si="45">AI40</x:f>
        <x:v>3260.9470833333339</x:v>
      </x:c>
      <x:c r="E40" s="721">
        <x:f t="shared" si="45"/>
        <x:v>3260.9470833333339</x:v>
      </x:c>
      <x:c r="F40" s="721">
        <x:f t="shared" si="45"/>
        <x:v>3260.9470833333339</x:v>
      </x:c>
      <x:c r="G40" s="721">
        <x:f t="shared" si="45"/>
        <x:v>3260.9470833333339</x:v>
      </x:c>
      <x:c r="H40" s="721">
        <x:f t="shared" si="45"/>
        <x:v>3260.9470833333339</x:v>
      </x:c>
      <x:c r="I40" s="721">
        <x:f t="shared" si="45"/>
        <x:v>3260.9470833333339</x:v>
      </x:c>
      <x:c r="J40" s="721">
        <x:f t="shared" si="45"/>
        <x:v>3260.9470833333339</x:v>
      </x:c>
      <x:c r="K40" s="721">
        <x:f t="shared" si="45"/>
        <x:v>6521.8941666666678</x:v>
      </x:c>
      <x:c r="L40" s="721">
        <x:f t="shared" si="45"/>
        <x:v>6521.8941666666678</x:v>
      </x:c>
      <x:c r="M40" s="721">
        <x:f t="shared" si="45"/>
        <x:v>6521.8941666666678</x:v>
      </x:c>
      <x:c r="N40" s="721">
        <x:f t="shared" si="45"/>
        <x:v>6521.8941666666678</x:v>
      </x:c>
      <x:c r="O40" s="500">
        <x:f>+SUM(C40:N40)</x:f>
        <x:v>52175.153333333335</x:v>
      </x:c>
      <x:c r="T40" s="429" t="s">
        <x:v>29</x:v>
      </x:c>
      <x:c r="U40" s="721">
        <x:v>13800.75</x:v>
      </x:c>
      <x:c r="V40" s="721"/>
      <x:c r="W40" s="721">
        <x:v>300</x:v>
      </x:c>
      <x:c r="X40" s="721">
        <x:v>300</x:v>
      </x:c>
      <x:c r="Y40" s="721"/>
      <x:c r="Z40" s="721"/>
      <x:c r="AA40" s="721"/>
      <x:c r="AB40" s="721">
        <x:v>300</x:v>
      </x:c>
      <x:c r="AC40" s="721">
        <x:v>6800</x:v>
      </x:c>
      <x:c r="AD40" s="721"/>
      <x:c r="AE40" s="721">
        <x:f>AVERAGE(U40:AD40)</x:f>
        <x:v>4300.1499999999996</x:v>
      </x:c>
      <x:c r="AF40" s="721">
        <x:f>AE40</x:f>
        <x:v>4300.1499999999996</x:v>
      </x:c>
      <x:c r="AG40" s="702">
        <x:f>+SUM(U40:AF40)</x:f>
        <x:v>30101.050000000003</x:v>
      </x:c>
      <x:c r="AH40" s="721">
        <x:f>$AT40/12</x:f>
        <x:v>3260.9470833333339</x:v>
      </x:c>
      <x:c r="AI40" s="721">
        <x:f t="shared" ref="AI40:AO46" si="46">$AT40/12</x:f>
        <x:v>3260.9470833333339</x:v>
      </x:c>
      <x:c r="AJ40" s="721">
        <x:f t="shared" si="46"/>
        <x:v>3260.9470833333339</x:v>
      </x:c>
      <x:c r="AK40" s="721">
        <x:f t="shared" si="46"/>
        <x:v>3260.9470833333339</x:v>
      </x:c>
      <x:c r="AL40" s="721">
        <x:f t="shared" si="46"/>
        <x:v>3260.9470833333339</x:v>
      </x:c>
      <x:c r="AM40" s="721">
        <x:f t="shared" si="46"/>
        <x:v>3260.9470833333339</x:v>
      </x:c>
      <x:c r="AN40" s="721">
        <x:f t="shared" si="46"/>
        <x:v>3260.9470833333339</x:v>
      </x:c>
      <x:c r="AO40" s="721">
        <x:f t="shared" si="46"/>
        <x:v>3260.9470833333339</x:v>
      </x:c>
      <x:c r="AP40" s="721">
        <x:f>$AT40/12*2</x:f>
        <x:v>6521.8941666666678</x:v>
      </x:c>
      <x:c r="AQ40" s="721">
        <x:f t="shared" ref="AQ40:AS46" si="47">$AT40/12*2</x:f>
        <x:v>6521.8941666666678</x:v>
      </x:c>
      <x:c r="AR40" s="721">
        <x:f t="shared" si="47"/>
        <x:v>6521.8941666666678</x:v>
      </x:c>
      <x:c r="AS40" s="721">
        <x:f t="shared" si="47"/>
        <x:v>6521.8941666666678</x:v>
      </x:c>
      <x:c r="AT40" s="563">
        <x:f>AG40*(1+$N$21)</x:f>
        <x:v>39131.365000000005</x:v>
      </x:c>
    </x:row>
    <x:row r="41" spans="2:46" s="769" customFormat="1" ht="24" customHeight="1">
      <x:c r="B41" s="429" t="s">
        <x:v>30</x:v>
      </x:c>
      <x:c r="C41" s="721">
        <x:f t="shared" ref="C41:C46" si="48">AH41</x:f>
        <x:v>0</x:v>
      </x:c>
      <x:c r="D41" s="721">
        <x:f t="shared" ref="D41:D46" si="49">AI41</x:f>
        <x:v>0</x:v>
      </x:c>
      <x:c r="E41" s="721">
        <x:f t="shared" ref="E41:E46" si="50">AJ41</x:f>
        <x:v>0</x:v>
      </x:c>
      <x:c r="F41" s="721">
        <x:f t="shared" ref="F41:F46" si="51">AK41</x:f>
        <x:v>0</x:v>
      </x:c>
      <x:c r="G41" s="721">
        <x:f t="shared" ref="G41:G46" si="52">AL41</x:f>
        <x:v>0</x:v>
      </x:c>
      <x:c r="H41" s="721">
        <x:f t="shared" ref="H41:H46" si="53">AM41</x:f>
        <x:v>0</x:v>
      </x:c>
      <x:c r="I41" s="721">
        <x:f t="shared" ref="I41:I46" si="54">AN41</x:f>
        <x:v>0</x:v>
      </x:c>
      <x:c r="J41" s="721">
        <x:f t="shared" ref="J41:J46" si="55">AO41</x:f>
        <x:v>0</x:v>
      </x:c>
      <x:c r="K41" s="721">
        <x:f t="shared" ref="K41:K46" si="56">AP41</x:f>
        <x:v>0</x:v>
      </x:c>
      <x:c r="L41" s="721">
        <x:f t="shared" ref="L41:L46" si="57">AQ41</x:f>
        <x:v>0</x:v>
      </x:c>
      <x:c r="M41" s="721">
        <x:f t="shared" ref="M41:M46" si="58">AR41</x:f>
        <x:v>0</x:v>
      </x:c>
      <x:c r="N41" s="721">
        <x:f t="shared" ref="N41:N46" si="59">AS41</x:f>
        <x:v>0</x:v>
      </x:c>
      <x:c r="O41" s="500">
        <x:f t="shared" ref="O41:O46" si="60">+SUM(C41:N41)</x:f>
        <x:v>0</x:v>
      </x:c>
      <x:c r="T41" s="429" t="s">
        <x:v>30</x:v>
      </x:c>
      <x:c r="U41" s="721"/>
      <x:c r="V41" s="721"/>
      <x:c r="W41" s="721"/>
      <x:c r="X41" s="721"/>
      <x:c r="Y41" s="721"/>
      <x:c r="Z41" s="721"/>
      <x:c r="AA41" s="721"/>
      <x:c r="AB41" s="721"/>
      <x:c r="AC41" s="721"/>
      <x:c r="AD41" s="721"/>
      <x:c r="AE41" s="721">
        <x:v>0</x:v>
      </x:c>
      <x:c r="AF41" s="721">
        <x:v>0</x:v>
      </x:c>
      <x:c r="AG41" s="702">
        <x:f t="shared" ref="AG41:AG46" si="61">+SUM(U41:AF41)</x:f>
        <x:v>0</x:v>
      </x:c>
      <x:c r="AH41" s="721">
        <x:f t="shared" ref="AH41:AH46" si="62">$AT41/12</x:f>
        <x:v>0</x:v>
      </x:c>
      <x:c r="AI41" s="721">
        <x:f t="shared" si="46"/>
        <x:v>0</x:v>
      </x:c>
      <x:c r="AJ41" s="721">
        <x:f t="shared" si="46"/>
        <x:v>0</x:v>
      </x:c>
      <x:c r="AK41" s="721">
        <x:f t="shared" si="46"/>
        <x:v>0</x:v>
      </x:c>
      <x:c r="AL41" s="721">
        <x:f t="shared" si="46"/>
        <x:v>0</x:v>
      </x:c>
      <x:c r="AM41" s="721">
        <x:f t="shared" si="46"/>
        <x:v>0</x:v>
      </x:c>
      <x:c r="AN41" s="721">
        <x:f t="shared" si="46"/>
        <x:v>0</x:v>
      </x:c>
      <x:c r="AO41" s="721">
        <x:f t="shared" si="46"/>
        <x:v>0</x:v>
      </x:c>
      <x:c r="AP41" s="721">
        <x:f t="shared" ref="AP41:AP46" si="63">$AT41/12*2</x:f>
        <x:v>0</x:v>
      </x:c>
      <x:c r="AQ41" s="721">
        <x:f t="shared" si="47"/>
        <x:v>0</x:v>
      </x:c>
      <x:c r="AR41" s="721">
        <x:f t="shared" si="47"/>
        <x:v>0</x:v>
      </x:c>
      <x:c r="AS41" s="721">
        <x:f t="shared" si="47"/>
        <x:v>0</x:v>
      </x:c>
      <x:c r="AT41" s="563">
        <x:f t="shared" ref="AT41:AT46" si="64">AG41*(1+$N$21)</x:f>
        <x:v>0</x:v>
      </x:c>
    </x:row>
    <x:row r="42" spans="2:46" s="769" customFormat="1" ht="24" customHeight="1">
      <x:c r="B42" s="429" t="s">
        <x:v>31</x:v>
      </x:c>
      <x:c r="C42" s="721">
        <x:f t="shared" si="48"/>
        <x:v>2443.8245000000002</x:v>
      </x:c>
      <x:c r="D42" s="721">
        <x:f t="shared" si="49"/>
        <x:v>2443.8245000000002</x:v>
      </x:c>
      <x:c r="E42" s="721">
        <x:f t="shared" si="50"/>
        <x:v>2443.8245000000002</x:v>
      </x:c>
      <x:c r="F42" s="721">
        <x:f t="shared" si="51"/>
        <x:v>2443.8245000000002</x:v>
      </x:c>
      <x:c r="G42" s="721">
        <x:f t="shared" si="52"/>
        <x:v>2443.8245000000002</x:v>
      </x:c>
      <x:c r="H42" s="721">
        <x:f t="shared" si="53"/>
        <x:v>2443.8245000000002</x:v>
      </x:c>
      <x:c r="I42" s="721">
        <x:f t="shared" si="54"/>
        <x:v>2443.8245000000002</x:v>
      </x:c>
      <x:c r="J42" s="721">
        <x:f t="shared" si="55"/>
        <x:v>2443.8245000000002</x:v>
      </x:c>
      <x:c r="K42" s="721">
        <x:f t="shared" si="56"/>
        <x:v>4887.6490000000003</x:v>
      </x:c>
      <x:c r="L42" s="721">
        <x:f t="shared" si="57"/>
        <x:v>4887.6490000000003</x:v>
      </x:c>
      <x:c r="M42" s="721">
        <x:f t="shared" si="58"/>
        <x:v>4887.6490000000003</x:v>
      </x:c>
      <x:c r="N42" s="721">
        <x:f t="shared" si="59"/>
        <x:v>4887.6490000000003</x:v>
      </x:c>
      <x:c r="O42" s="500">
        <x:f t="shared" si="60"/>
        <x:v>39101.192000000003</x:v>
      </x:c>
      <x:c r="T42" s="429" t="s">
        <x:v>31</x:v>
      </x:c>
      <x:c r="U42" s="721">
        <x:v>1637.82</x:v>
      </x:c>
      <x:c r="V42" s="721"/>
      <x:c r="W42" s="721">
        <x:v>2299.41</x:v>
      </x:c>
      <x:c r="X42" s="721">
        <x:v>7601.6900000000005</x:v>
      </x:c>
      <x:c r="Y42" s="721"/>
      <x:c r="Z42" s="721"/>
      <x:c r="AA42" s="721"/>
      <x:c r="AB42" s="721">
        <x:v>3500</x:v>
      </x:c>
      <x:c r="AC42" s="721"/>
      <x:c r="AD42" s="721"/>
      <x:c r="AE42" s="721">
        <x:f t="shared" ref="AE42:AE45" si="65">AVERAGE(U42:AD42)</x:f>
        <x:v>3759.73</x:v>
      </x:c>
      <x:c r="AF42" s="721">
        <x:f t="shared" ref="AF42:AF45" si="66">AE42</x:f>
        <x:v>3759.73</x:v>
      </x:c>
      <x:c r="AG42" s="702">
        <x:f t="shared" si="61"/>
        <x:v>22558.38</x:v>
      </x:c>
      <x:c r="AH42" s="721">
        <x:f t="shared" si="62"/>
        <x:v>2443.8245000000002</x:v>
      </x:c>
      <x:c r="AI42" s="721">
        <x:f t="shared" si="46"/>
        <x:v>2443.8245000000002</x:v>
      </x:c>
      <x:c r="AJ42" s="721">
        <x:f t="shared" si="46"/>
        <x:v>2443.8245000000002</x:v>
      </x:c>
      <x:c r="AK42" s="721">
        <x:f t="shared" si="46"/>
        <x:v>2443.8245000000002</x:v>
      </x:c>
      <x:c r="AL42" s="721">
        <x:f t="shared" si="46"/>
        <x:v>2443.8245000000002</x:v>
      </x:c>
      <x:c r="AM42" s="721">
        <x:f t="shared" si="46"/>
        <x:v>2443.8245000000002</x:v>
      </x:c>
      <x:c r="AN42" s="721">
        <x:f t="shared" si="46"/>
        <x:v>2443.8245000000002</x:v>
      </x:c>
      <x:c r="AO42" s="721">
        <x:f t="shared" si="46"/>
        <x:v>2443.8245000000002</x:v>
      </x:c>
      <x:c r="AP42" s="721">
        <x:f t="shared" si="63"/>
        <x:v>4887.6490000000003</x:v>
      </x:c>
      <x:c r="AQ42" s="721">
        <x:f t="shared" si="47"/>
        <x:v>4887.6490000000003</x:v>
      </x:c>
      <x:c r="AR42" s="721">
        <x:f t="shared" si="47"/>
        <x:v>4887.6490000000003</x:v>
      </x:c>
      <x:c r="AS42" s="721">
        <x:f t="shared" si="47"/>
        <x:v>4887.6490000000003</x:v>
      </x:c>
      <x:c r="AT42" s="563">
        <x:f t="shared" si="64"/>
        <x:v>29325.894000000004</x:v>
      </x:c>
    </x:row>
    <x:row r="43" spans="2:46" s="769" customFormat="1" ht="24" customHeight="1">
      <x:c r="B43" s="429" t="s">
        <x:v>32</x:v>
      </x:c>
      <x:c r="C43" s="721">
        <x:f t="shared" si="48"/>
        <x:v>3286.6121166666667</x:v>
      </x:c>
      <x:c r="D43" s="721">
        <x:f t="shared" si="49"/>
        <x:v>3286.6121166666667</x:v>
      </x:c>
      <x:c r="E43" s="721">
        <x:f t="shared" si="50"/>
        <x:v>3286.6121166666667</x:v>
      </x:c>
      <x:c r="F43" s="721">
        <x:f t="shared" si="51"/>
        <x:v>3286.6121166666667</x:v>
      </x:c>
      <x:c r="G43" s="721">
        <x:f t="shared" si="52"/>
        <x:v>3286.6121166666667</x:v>
      </x:c>
      <x:c r="H43" s="721">
        <x:f t="shared" si="53"/>
        <x:v>3286.6121166666667</x:v>
      </x:c>
      <x:c r="I43" s="721">
        <x:f t="shared" si="54"/>
        <x:v>3286.6121166666667</x:v>
      </x:c>
      <x:c r="J43" s="721">
        <x:f t="shared" si="55"/>
        <x:v>3286.6121166666667</x:v>
      </x:c>
      <x:c r="K43" s="721">
        <x:f t="shared" si="56"/>
        <x:v>6573.2242333333334</x:v>
      </x:c>
      <x:c r="L43" s="721">
        <x:f t="shared" si="57"/>
        <x:v>6573.2242333333334</x:v>
      </x:c>
      <x:c r="M43" s="721">
        <x:f t="shared" si="58"/>
        <x:v>6573.2242333333334</x:v>
      </x:c>
      <x:c r="N43" s="721">
        <x:f t="shared" si="59"/>
        <x:v>6573.2242333333334</x:v>
      </x:c>
      <x:c r="O43" s="500">
        <x:f t="shared" si="60"/>
        <x:v>52585.793866666667</x:v>
      </x:c>
      <x:c r="T43" s="429" t="s">
        <x:v>32</x:v>
      </x:c>
      <x:c r="U43" s="721">
        <x:v>2558</x:v>
      </x:c>
      <x:c r="V43" s="721"/>
      <x:c r="W43" s="721">
        <x:v>4263</x:v>
      </x:c>
      <x:c r="X43" s="721">
        <x:v>4263</x:v>
      </x:c>
      <x:c r="Y43" s="721"/>
      <x:c r="Z43" s="721"/>
      <x:c r="AA43" s="721"/>
      <x:c r="AB43" s="721">
        <x:v>7068.02</x:v>
      </x:c>
      <x:c r="AC43" s="721">
        <x:v>3517.9500000000007</x:v>
      </x:c>
      <x:c r="AD43" s="721"/>
      <x:c r="AE43" s="721">
        <x:f t="shared" si="65"/>
        <x:v>4333.9940000000006</x:v>
      </x:c>
      <x:c r="AF43" s="721">
        <x:f t="shared" si="66"/>
        <x:v>4333.9940000000006</x:v>
      </x:c>
      <x:c r="AG43" s="702">
        <x:f t="shared" si="61"/>
        <x:v>30337.957999999999</x:v>
      </x:c>
      <x:c r="AH43" s="721">
        <x:f t="shared" si="62"/>
        <x:v>3286.6121166666667</x:v>
      </x:c>
      <x:c r="AI43" s="721">
        <x:f t="shared" si="46"/>
        <x:v>3286.6121166666667</x:v>
      </x:c>
      <x:c r="AJ43" s="721">
        <x:f t="shared" si="46"/>
        <x:v>3286.6121166666667</x:v>
      </x:c>
      <x:c r="AK43" s="721">
        <x:f t="shared" si="46"/>
        <x:v>3286.6121166666667</x:v>
      </x:c>
      <x:c r="AL43" s="721">
        <x:f t="shared" si="46"/>
        <x:v>3286.6121166666667</x:v>
      </x:c>
      <x:c r="AM43" s="721">
        <x:f t="shared" si="46"/>
        <x:v>3286.6121166666667</x:v>
      </x:c>
      <x:c r="AN43" s="721">
        <x:f t="shared" si="46"/>
        <x:v>3286.6121166666667</x:v>
      </x:c>
      <x:c r="AO43" s="721">
        <x:f t="shared" si="46"/>
        <x:v>3286.6121166666667</x:v>
      </x:c>
      <x:c r="AP43" s="721">
        <x:f t="shared" si="63"/>
        <x:v>6573.2242333333334</x:v>
      </x:c>
      <x:c r="AQ43" s="721">
        <x:f t="shared" si="47"/>
        <x:v>6573.2242333333334</x:v>
      </x:c>
      <x:c r="AR43" s="721">
        <x:f t="shared" si="47"/>
        <x:v>6573.2242333333334</x:v>
      </x:c>
      <x:c r="AS43" s="721">
        <x:f t="shared" si="47"/>
        <x:v>6573.2242333333334</x:v>
      </x:c>
      <x:c r="AT43" s="563">
        <x:f t="shared" si="64"/>
        <x:v>39439.345399999998</x:v>
      </x:c>
    </x:row>
    <x:row r="44" spans="2:46" s="769" customFormat="1" ht="24" customHeight="1">
      <x:c r="B44" s="429" t="s">
        <x:v>33</x:v>
      </x:c>
      <x:c r="C44" s="721">
        <x:f t="shared" si="48"/>
        <x:v>2469.1257500000006</x:v>
      </x:c>
      <x:c r="D44" s="721">
        <x:f t="shared" si="49"/>
        <x:v>2469.1257500000006</x:v>
      </x:c>
      <x:c r="E44" s="721">
        <x:f t="shared" si="50"/>
        <x:v>2469.1257500000006</x:v>
      </x:c>
      <x:c r="F44" s="721">
        <x:f t="shared" si="51"/>
        <x:v>2469.1257500000006</x:v>
      </x:c>
      <x:c r="G44" s="721">
        <x:f t="shared" si="52"/>
        <x:v>2469.1257500000006</x:v>
      </x:c>
      <x:c r="H44" s="721">
        <x:f t="shared" si="53"/>
        <x:v>2469.1257500000006</x:v>
      </x:c>
      <x:c r="I44" s="721">
        <x:f t="shared" si="54"/>
        <x:v>2469.1257500000006</x:v>
      </x:c>
      <x:c r="J44" s="721">
        <x:f t="shared" si="55"/>
        <x:v>2469.1257500000006</x:v>
      </x:c>
      <x:c r="K44" s="721">
        <x:f t="shared" si="56"/>
        <x:v>4938.2515000000012</x:v>
      </x:c>
      <x:c r="L44" s="721">
        <x:f t="shared" si="57"/>
        <x:v>4938.2515000000012</x:v>
      </x:c>
      <x:c r="M44" s="721">
        <x:f t="shared" si="58"/>
        <x:v>4938.2515000000012</x:v>
      </x:c>
      <x:c r="N44" s="721">
        <x:f t="shared" si="59"/>
        <x:v>4938.2515000000012</x:v>
      </x:c>
      <x:c r="O44" s="500">
        <x:f t="shared" si="60"/>
        <x:v>39506.01200000001</x:v>
      </x:c>
      <x:c r="T44" s="429" t="s">
        <x:v>33</x:v>
      </x:c>
      <x:c r="U44" s="721">
        <x:v>158.72</x:v>
      </x:c>
      <x:c r="V44" s="721"/>
      <x:c r="W44" s="721">
        <x:v>0</x:v>
      </x:c>
      <x:c r="X44" s="721">
        <x:v>9059.2300000000014</x:v>
      </x:c>
      <x:c r="Y44" s="721"/>
      <x:c r="Z44" s="721"/>
      <x:c r="AA44" s="721"/>
      <x:c r="AB44" s="721">
        <x:v>5800</x:v>
      </x:c>
      <x:c r="AC44" s="721">
        <x:v>1262</x:v>
      </x:c>
      <x:c r="AD44" s="721"/>
      <x:c r="AE44" s="721">
        <x:f t="shared" si="65"/>
        <x:v>3255.9900000000002</x:v>
      </x:c>
      <x:c r="AF44" s="721">
        <x:f t="shared" si="66"/>
        <x:v>3255.9900000000002</x:v>
      </x:c>
      <x:c r="AG44" s="702">
        <x:f t="shared" si="61"/>
        <x:v>22791.930000000004</x:v>
      </x:c>
      <x:c r="AH44" s="721">
        <x:f t="shared" si="62"/>
        <x:v>2469.1257500000006</x:v>
      </x:c>
      <x:c r="AI44" s="721">
        <x:f t="shared" si="46"/>
        <x:v>2469.1257500000006</x:v>
      </x:c>
      <x:c r="AJ44" s="721">
        <x:f t="shared" si="46"/>
        <x:v>2469.1257500000006</x:v>
      </x:c>
      <x:c r="AK44" s="721">
        <x:f t="shared" si="46"/>
        <x:v>2469.1257500000006</x:v>
      </x:c>
      <x:c r="AL44" s="721">
        <x:f t="shared" si="46"/>
        <x:v>2469.1257500000006</x:v>
      </x:c>
      <x:c r="AM44" s="721">
        <x:f t="shared" si="46"/>
        <x:v>2469.1257500000006</x:v>
      </x:c>
      <x:c r="AN44" s="721">
        <x:f t="shared" si="46"/>
        <x:v>2469.1257500000006</x:v>
      </x:c>
      <x:c r="AO44" s="721">
        <x:f t="shared" si="46"/>
        <x:v>2469.1257500000006</x:v>
      </x:c>
      <x:c r="AP44" s="721">
        <x:f t="shared" si="63"/>
        <x:v>4938.2515000000012</x:v>
      </x:c>
      <x:c r="AQ44" s="721">
        <x:f t="shared" si="47"/>
        <x:v>4938.2515000000012</x:v>
      </x:c>
      <x:c r="AR44" s="721">
        <x:f t="shared" si="47"/>
        <x:v>4938.2515000000012</x:v>
      </x:c>
      <x:c r="AS44" s="721">
        <x:f t="shared" si="47"/>
        <x:v>4938.2515000000012</x:v>
      </x:c>
      <x:c r="AT44" s="563">
        <x:f t="shared" si="64"/>
        <x:v>29629.509000000005</x:v>
      </x:c>
    </x:row>
    <x:row r="45" spans="2:46" s="769" customFormat="1" ht="24" customHeight="1">
      <x:c r="B45" s="429" t="s">
        <x:v>36</x:v>
      </x:c>
      <x:c r="C45" s="721">
        <x:f>AH45</x:f>
        <x:v>8320.6183666666675</x:v>
      </x:c>
      <x:c r="D45" s="721">
        <x:f>AI45</x:f>
        <x:v>8320.6183666666675</x:v>
      </x:c>
      <x:c r="E45" s="721">
        <x:f t="shared" si="50"/>
        <x:v>8320.6183666666675</x:v>
      </x:c>
      <x:c r="F45" s="721">
        <x:f t="shared" si="51"/>
        <x:v>8320.6183666666675</x:v>
      </x:c>
      <x:c r="G45" s="721">
        <x:f t="shared" si="52"/>
        <x:v>8320.6183666666675</x:v>
      </x:c>
      <x:c r="H45" s="721">
        <x:f t="shared" si="53"/>
        <x:v>8320.6183666666675</x:v>
      </x:c>
      <x:c r="I45" s="721">
        <x:f t="shared" si="54"/>
        <x:v>8320.6183666666675</x:v>
      </x:c>
      <x:c r="J45" s="721">
        <x:f t="shared" si="55"/>
        <x:v>8320.6183666666675</x:v>
      </x:c>
      <x:c r="K45" s="721">
        <x:f t="shared" si="56"/>
        <x:v>16641.236733333335</x:v>
      </x:c>
      <x:c r="L45" s="721">
        <x:f t="shared" si="57"/>
        <x:v>16641.236733333335</x:v>
      </x:c>
      <x:c r="M45" s="721">
        <x:f t="shared" si="58"/>
        <x:v>16641.236733333335</x:v>
      </x:c>
      <x:c r="N45" s="721">
        <x:f t="shared" si="59"/>
        <x:v>16641.236733333335</x:v>
      </x:c>
      <x:c r="O45" s="500">
        <x:f t="shared" si="60"/>
        <x:v>133129.89386666668</x:v>
      </x:c>
      <x:c r="T45" s="429" t="s">
        <x:v>36</x:v>
      </x:c>
      <x:c r="U45" s="721">
        <x:v>201.67</x:v>
      </x:c>
      <x:c r="V45" s="721"/>
      <x:c r="W45" s="721">
        <x:v>0</x:v>
      </x:c>
      <x:c r="X45" s="721">
        <x:v>1895.42</x:v>
      </x:c>
      <x:c r="Y45" s="721"/>
      <x:c r="Z45" s="721"/>
      <x:c r="AA45" s="721"/>
      <x:c r="AB45" s="721">
        <x:v>21239.68</x:v>
      </x:c>
      <x:c r="AC45" s="721">
        <x:v>31524.45</x:v>
      </x:c>
      <x:c r="AD45" s="721"/>
      <x:c r="AE45" s="721">
        <x:f t="shared" si="65"/>
        <x:v>10972.244000000001</x:v>
      </x:c>
      <x:c r="AF45" s="721">
        <x:f t="shared" si="66"/>
        <x:v>10972.244000000001</x:v>
      </x:c>
      <x:c r="AG45" s="702">
        <x:f t="shared" si="61"/>
        <x:v>76805.708000000013</x:v>
      </x:c>
      <x:c r="AH45" s="721">
        <x:f t="shared" si="62"/>
        <x:v>8320.6183666666675</x:v>
      </x:c>
      <x:c r="AI45" s="721">
        <x:f t="shared" si="46"/>
        <x:v>8320.6183666666675</x:v>
      </x:c>
      <x:c r="AJ45" s="721">
        <x:f t="shared" si="46"/>
        <x:v>8320.6183666666675</x:v>
      </x:c>
      <x:c r="AK45" s="721">
        <x:f t="shared" si="46"/>
        <x:v>8320.6183666666675</x:v>
      </x:c>
      <x:c r="AL45" s="721">
        <x:f t="shared" si="46"/>
        <x:v>8320.6183666666675</x:v>
      </x:c>
      <x:c r="AM45" s="721">
        <x:f t="shared" si="46"/>
        <x:v>8320.6183666666675</x:v>
      </x:c>
      <x:c r="AN45" s="721">
        <x:f t="shared" si="46"/>
        <x:v>8320.6183666666675</x:v>
      </x:c>
      <x:c r="AO45" s="721">
        <x:f t="shared" si="46"/>
        <x:v>8320.6183666666675</x:v>
      </x:c>
      <x:c r="AP45" s="721">
        <x:f t="shared" si="63"/>
        <x:v>16641.236733333335</x:v>
      </x:c>
      <x:c r="AQ45" s="721">
        <x:f t="shared" si="47"/>
        <x:v>16641.236733333335</x:v>
      </x:c>
      <x:c r="AR45" s="721">
        <x:f t="shared" si="47"/>
        <x:v>16641.236733333335</x:v>
      </x:c>
      <x:c r="AS45" s="721">
        <x:f t="shared" si="47"/>
        <x:v>16641.236733333335</x:v>
      </x:c>
      <x:c r="AT45" s="563">
        <x:f t="shared" si="64"/>
        <x:v>99847.420400000017</x:v>
      </x:c>
    </x:row>
    <x:row r="46" spans="2:46" s="769" customFormat="1" ht="24" customHeight="1">
      <x:c r="B46" s="429" t="s">
        <x:v>34</x:v>
      </x:c>
      <x:c r="C46" s="721">
        <x:f t="shared" si="48"/>
        <x:v>1116.8384499999997</x:v>
      </x:c>
      <x:c r="D46" s="721">
        <x:f t="shared" si="49"/>
        <x:v>1116.8384499999997</x:v>
      </x:c>
      <x:c r="E46" s="721">
        <x:f t="shared" si="50"/>
        <x:v>1116.8384499999997</x:v>
      </x:c>
      <x:c r="F46" s="721">
        <x:f t="shared" si="51"/>
        <x:v>1116.8384499999997</x:v>
      </x:c>
      <x:c r="G46" s="721">
        <x:f t="shared" si="52"/>
        <x:v>1116.8384499999997</x:v>
      </x:c>
      <x:c r="H46" s="721">
        <x:f t="shared" si="53"/>
        <x:v>1116.8384499999997</x:v>
      </x:c>
      <x:c r="I46" s="721">
        <x:f t="shared" si="54"/>
        <x:v>1116.8384499999997</x:v>
      </x:c>
      <x:c r="J46" s="721">
        <x:f t="shared" si="55"/>
        <x:v>1116.8384499999997</x:v>
      </x:c>
      <x:c r="K46" s="721">
        <x:f t="shared" si="56"/>
        <x:v>2233.6768999999995</x:v>
      </x:c>
      <x:c r="L46" s="721">
        <x:f t="shared" si="57"/>
        <x:v>2233.6768999999995</x:v>
      </x:c>
      <x:c r="M46" s="721">
        <x:f t="shared" si="58"/>
        <x:v>2233.6768999999995</x:v>
      </x:c>
      <x:c r="N46" s="721">
        <x:f t="shared" si="59"/>
        <x:v>2233.6768999999995</x:v>
      </x:c>
      <x:c r="O46" s="500">
        <x:f t="shared" si="60"/>
        <x:v>17869.415199999992</x:v>
      </x:c>
      <x:c r="T46" s="429" t="s">
        <x:v>34</x:v>
      </x:c>
      <x:c r="U46" s="721">
        <x:v>1161.48</x:v>
      </x:c>
      <x:c r="V46" s="721"/>
      <x:c r="W46" s="721">
        <x:v>1711.29</x:v>
      </x:c>
      <x:c r="X46" s="721">
        <x:v>898.19999999999982</x:v>
      </x:c>
      <x:c r="Y46" s="721"/>
      <x:c r="Z46" s="721"/>
      <x:c r="AA46" s="721"/>
      <x:c r="AB46" s="721">
        <x:v>2694.6000000000004</x:v>
      </x:c>
      <x:c r="AC46" s="721">
        <x:v>898.19999999999891</x:v>
      </x:c>
      <x:c r="AD46" s="721"/>
      <x:c r="AE46" s="721">
        <x:f>AVERAGE(U46:AD46)</x:f>
        <x:v>1472.7539999999997</x:v>
      </x:c>
      <x:c r="AF46" s="721">
        <x:f>AE46</x:f>
        <x:v>1472.7539999999997</x:v>
      </x:c>
      <x:c r="AG46" s="702">
        <x:f t="shared" si="61"/>
        <x:v>10309.277999999997</x:v>
      </x:c>
      <x:c r="AH46" s="721">
        <x:f t="shared" si="62"/>
        <x:v>1116.8384499999997</x:v>
      </x:c>
      <x:c r="AI46" s="721">
        <x:f t="shared" si="46"/>
        <x:v>1116.8384499999997</x:v>
      </x:c>
      <x:c r="AJ46" s="721">
        <x:f t="shared" si="46"/>
        <x:v>1116.8384499999997</x:v>
      </x:c>
      <x:c r="AK46" s="721">
        <x:f t="shared" si="46"/>
        <x:v>1116.8384499999997</x:v>
      </x:c>
      <x:c r="AL46" s="721">
        <x:f t="shared" si="46"/>
        <x:v>1116.8384499999997</x:v>
      </x:c>
      <x:c r="AM46" s="721">
        <x:f t="shared" si="46"/>
        <x:v>1116.8384499999997</x:v>
      </x:c>
      <x:c r="AN46" s="721">
        <x:f t="shared" si="46"/>
        <x:v>1116.8384499999997</x:v>
      </x:c>
      <x:c r="AO46" s="721">
        <x:f t="shared" si="46"/>
        <x:v>1116.8384499999997</x:v>
      </x:c>
      <x:c r="AP46" s="721">
        <x:f t="shared" si="63"/>
        <x:v>2233.6768999999995</x:v>
      </x:c>
      <x:c r="AQ46" s="721">
        <x:f t="shared" si="47"/>
        <x:v>2233.6768999999995</x:v>
      </x:c>
      <x:c r="AR46" s="721">
        <x:f t="shared" si="47"/>
        <x:v>2233.6768999999995</x:v>
      </x:c>
      <x:c r="AS46" s="721">
        <x:f t="shared" si="47"/>
        <x:v>2233.6768999999995</x:v>
      </x:c>
      <x:c r="AT46" s="563">
        <x:f t="shared" si="64"/>
        <x:v>13402.061399999997</x:v>
      </x:c>
    </x:row>
    <x:row r="47" spans="2:46" s="769" customFormat="1" ht="24" customHeight="1">
      <x:c r="B47" s="773"/>
      <x:c r="C47" s="773"/>
      <x:c r="D47" s="773"/>
      <x:c r="E47" s="773"/>
      <x:c r="F47" s="773"/>
      <x:c r="G47" s="773"/>
      <x:c r="H47" s="773"/>
      <x:c r="I47" s="773"/>
      <x:c r="J47" s="773"/>
      <x:c r="K47" s="773"/>
      <x:c r="L47" s="773"/>
      <x:c r="M47" s="773"/>
      <x:c r="N47" s="773"/>
      <x:c r="O47" s="21"/>
      <x:c r="T47" s="773"/>
      <x:c r="U47" s="773"/>
      <x:c r="V47" s="773"/>
      <x:c r="W47" s="773"/>
      <x:c r="X47" s="773"/>
      <x:c r="Y47" s="773"/>
      <x:c r="Z47" s="773"/>
      <x:c r="AA47" s="773"/>
      <x:c r="AB47" s="773"/>
      <x:c r="AC47" s="773"/>
      <x:c r="AD47" s="773"/>
      <x:c r="AE47" s="797" t="s">
        <x:v>288</x:v>
      </x:c>
      <x:c r="AF47" s="797" t="s">
        <x:v>288</x:v>
      </x:c>
      <x:c r="AG47" s="21"/>
      <x:c r="AH47" s="773"/>
      <x:c r="AI47" s="773"/>
      <x:c r="AJ47" s="773"/>
      <x:c r="AK47" s="773"/>
      <x:c r="AL47" s="773"/>
      <x:c r="AM47" s="773"/>
      <x:c r="AN47" s="773"/>
      <x:c r="AO47" s="773"/>
      <x:c r="AP47" s="773"/>
      <x:c r="AQ47" s="773"/>
      <x:c r="AR47" s="773"/>
      <x:c r="AS47" s="773"/>
      <x:c r="AT47" s="21"/>
    </x:row>
  </x:sheetData>
  <x:mergeCells count="45">
    <x:mergeCell ref="C32:F32"/>
    <x:mergeCell ref="G32:H32"/>
    <x:mergeCell ref="O37:O38"/>
    <x:mergeCell ref="AG37:AG38"/>
    <x:mergeCell ref="AT37:AT38"/>
    <x:mergeCell ref="M29:M32"/>
    <x:mergeCell ref="C29:F29"/>
    <x:mergeCell ref="G29:H29"/>
    <x:mergeCell ref="C30:F30"/>
    <x:mergeCell ref="G30:H30"/>
    <x:mergeCell ref="C31:F31"/>
    <x:mergeCell ref="G31:H31"/>
    <x:mergeCell ref="I19:J19"/>
    <x:mergeCell ref="C20:F20"/>
    <x:mergeCell ref="G20:H20"/>
    <x:mergeCell ref="B21:B22"/>
    <x:mergeCell ref="C21:F21"/>
    <x:mergeCell ref="G21:H21"/>
    <x:mergeCell ref="B24:B28"/>
    <x:mergeCell ref="C24:F24"/>
    <x:mergeCell ref="G24:H24"/>
    <x:mergeCell ref="M24:M28"/>
    <x:mergeCell ref="C25:F25"/>
    <x:mergeCell ref="N21:N22"/>
    <x:mergeCell ref="N24:N28"/>
    <x:mergeCell ref="N29:N32"/>
    <x:mergeCell ref="B37:N37"/>
    <x:mergeCell ref="G25:H25"/>
    <x:mergeCell ref="C26:F26"/>
    <x:mergeCell ref="G26:H26"/>
    <x:mergeCell ref="C27:F27"/>
    <x:mergeCell ref="G27:H27"/>
    <x:mergeCell ref="C28:F28"/>
    <x:mergeCell ref="G28:H28"/>
    <x:mergeCell ref="M21:M22"/>
    <x:mergeCell ref="C22:F22"/>
    <x:mergeCell ref="G22:H22"/>
    <x:mergeCell ref="C23:F23"/>
    <x:mergeCell ref="G23:H23"/>
    <x:mergeCell ref="AT4:AT6"/>
    <x:mergeCell ref="T37:AF37"/>
    <x:mergeCell ref="AH37:AS37"/>
    <x:mergeCell ref="T4:AF4"/>
    <x:mergeCell ref="AG4:AG6"/>
    <x:mergeCell ref="AH4:AS4"/>
  </x:mergeCells>
  <x:phoneticPr fontId="3" type="noConversion"/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2BA3396-04CA-456B-B83A-A9D641013E6C}" mc:Ignorable="x14ac xr xr2 xr3">
  <x:sheetPr codeName="Sheet12"/>
  <x:dimension ref="B1:AE30"/>
  <x:sheetViews>
    <x:sheetView zoomScale="70" zoomScaleNormal="70" workbookViewId="0">
      <x:selection activeCell="D5" sqref="D5"/>
    </x:sheetView>
  </x:sheetViews>
  <x:sheetFormatPr defaultColWidth="8.75" defaultRowHeight="16.5"/>
  <x:cols>
    <x:col min="1" max="1" width="1.25" style="21" customWidth="1"/>
    <x:col min="2" max="2" width="23" style="21" customWidth="1"/>
    <x:col min="3" max="14" width="10.5" style="21" bestFit="1" customWidth="1"/>
    <x:col min="15" max="15" width="12.25" style="21" bestFit="1" customWidth="1"/>
    <x:col min="16" max="16" width="16.25" style="21" bestFit="1" customWidth="1"/>
    <x:col min="17" max="17" width="3.75" style="21" customWidth="1"/>
    <x:col min="18" max="18" width="23" style="21" customWidth="1"/>
    <x:col min="19" max="30" width="9" style="21" bestFit="1" customWidth="1"/>
    <x:col min="31" max="31" width="14.25" style="21" customWidth="1"/>
    <x:col min="32" max="16384" width="8.75" style="21"/>
  </x:cols>
  <x:sheetData>
    <x:row r="1" spans="2:31" ht="31.5">
      <x:c r="B1" s="26" t="s">
        <x:v>583</x:v>
      </x:c>
      <x:c r="C1" s="26"/>
      <x:c r="R1" s="26" t="s">
        <x:v>303</x:v>
      </x:c>
      <x:c r="S1" s="26"/>
    </x:row>
    <x:row r="2" spans="2:31" ht="2.4500000000000002" customHeight="1">
      <x:c r="B2" s="29"/>
      <x:c r="C2" s="29"/>
      <x:c r="D2" s="29"/>
      <x:c r="E2" s="29"/>
      <x:c r="F2" s="29"/>
      <x:c r="R2" s="29"/>
      <x:c r="S2" s="29"/>
      <x:c r="T2" s="29"/>
      <x:c r="U2" s="29"/>
      <x:c r="V2" s="29"/>
    </x:row>
    <x:row r="3" spans="2:31" ht="7.9" customHeight="1"/>
    <x:row r="4" spans="2:31" ht="25.15" customHeight="1">
      <x:c r="B4" s="537" t="s">
        <x:v>267</x:v>
      </x:c>
      <x:c r="C4" s="710">
        <x:v>1</x:v>
      </x:c>
      <x:c r="D4" s="710">
        <x:v>2</x:v>
      </x:c>
      <x:c r="E4" s="710">
        <x:v>3</x:v>
      </x:c>
      <x:c r="F4" s="710">
        <x:v>4</x:v>
      </x:c>
      <x:c r="G4" s="710">
        <x:v>5</x:v>
      </x:c>
      <x:c r="H4" s="710">
        <x:v>6</x:v>
      </x:c>
      <x:c r="I4" s="710">
        <x:v>7</x:v>
      </x:c>
      <x:c r="J4" s="710">
        <x:v>8</x:v>
      </x:c>
      <x:c r="K4" s="710">
        <x:v>9</x:v>
      </x:c>
      <x:c r="L4" s="710">
        <x:v>10</x:v>
      </x:c>
      <x:c r="M4" s="710">
        <x:v>11</x:v>
      </x:c>
      <x:c r="N4" s="710">
        <x:v>12</x:v>
      </x:c>
      <x:c r="O4" s="710" t="s">
        <x:v>207</x:v>
      </x:c>
      <x:c r="P4" s="774" t="s">
        <x:v>208</x:v>
      </x:c>
      <x:c r="Q4" s="769"/>
      <x:c r="R4" s="537" t="s">
        <x:v>267</x:v>
      </x:c>
      <x:c r="S4" s="710">
        <x:v>1</x:v>
      </x:c>
      <x:c r="T4" s="710">
        <x:v>2</x:v>
      </x:c>
      <x:c r="U4" s="710">
        <x:v>3</x:v>
      </x:c>
      <x:c r="V4" s="710">
        <x:v>4</x:v>
      </x:c>
      <x:c r="W4" s="710">
        <x:v>5</x:v>
      </x:c>
      <x:c r="X4" s="710">
        <x:v>6</x:v>
      </x:c>
      <x:c r="Y4" s="710">
        <x:v>7</x:v>
      </x:c>
      <x:c r="Z4" s="710">
        <x:v>8</x:v>
      </x:c>
      <x:c r="AA4" s="710">
        <x:v>9</x:v>
      </x:c>
      <x:c r="AB4" s="710">
        <x:v>10</x:v>
      </x:c>
      <x:c r="AC4" s="710">
        <x:v>11</x:v>
      </x:c>
      <x:c r="AD4" s="710">
        <x:v>12</x:v>
      </x:c>
      <x:c r="AE4" s="774" t="s">
        <x:v>207</x:v>
      </x:c>
    </x:row>
    <x:row r="5" spans="2:31" ht="25.15" customHeight="1">
      <x:c r="B5" s="413" t="s">
        <x:v>294</x:v>
      </x:c>
      <x:c r="C5" s="785">
        <x:f>C19</x:f>
        <x:v>554836.15</x:v>
      </x:c>
      <x:c r="D5" s="785">
        <x:f t="shared" ref="D5:N5" si="0">D19</x:f>
        <x:v>554836.15</x:v>
      </x:c>
      <x:c r="E5" s="785">
        <x:f t="shared" si="0"/>
        <x:v>554836.15</x:v>
      </x:c>
      <x:c r="F5" s="785">
        <x:f t="shared" si="0"/>
        <x:v>554836.15</x:v>
      </x:c>
      <x:c r="G5" s="785">
        <x:f t="shared" si="0"/>
        <x:v>554836.15</x:v>
      </x:c>
      <x:c r="H5" s="785">
        <x:f t="shared" si="0"/>
        <x:v>554836.15</x:v>
      </x:c>
      <x:c r="I5" s="785">
        <x:f t="shared" si="0"/>
        <x:v>554836.15</x:v>
      </x:c>
      <x:c r="J5" s="785">
        <x:f t="shared" si="0"/>
        <x:v>554836.15</x:v>
      </x:c>
      <x:c r="K5" s="785">
        <x:f t="shared" si="0"/>
        <x:v>554836.15</x:v>
      </x:c>
      <x:c r="L5" s="785">
        <x:f t="shared" si="0"/>
        <x:v>554836.15</x:v>
      </x:c>
      <x:c r="M5" s="785">
        <x:f t="shared" si="0"/>
        <x:v>554836.15</x:v>
      </x:c>
      <x:c r="N5" s="785">
        <x:f t="shared" si="0"/>
        <x:v>554836.15</x:v>
      </x:c>
      <x:c r="O5" s="585">
        <x:f>O19</x:f>
        <x:v>6658033.7999999998</x:v>
      </x:c>
      <x:c r="P5" s="567"/>
      <x:c r="Q5" s="769"/>
      <x:c r="R5" s="413" t="s">
        <x:v>294</x:v>
      </x:c>
      <x:c r="S5" s="793">
        <x:v>486446</x:v>
      </x:c>
      <x:c r="T5" s="793">
        <x:v>547529</x:v>
      </x:c>
      <x:c r="U5" s="793">
        <x:v>593398</x:v>
      </x:c>
      <x:c r="V5" s="793">
        <x:v>599024</x:v>
      </x:c>
      <x:c r="W5" s="793">
        <x:v>518578</x:v>
      </x:c>
      <x:c r="X5" s="793">
        <x:v>410466</x:v>
      </x:c>
      <x:c r="Y5" s="793">
        <x:v>507709</x:v>
      </x:c>
      <x:c r="Z5" s="793">
        <x:v>408268</x:v>
      </x:c>
      <x:c r="AA5" s="793">
        <x:v>623860</x:v>
      </x:c>
      <x:c r="AB5" s="793">
        <x:v>562931</x:v>
      </x:c>
      <x:c r="AC5" s="793">
        <x:f>AVERAGE(S5:AB5)</x:f>
        <x:v>525820.9</x:v>
      </x:c>
      <x:c r="AD5" s="760">
        <x:f>AC5</x:f>
        <x:v>525820.9</x:v>
      </x:c>
      <x:c r="AE5" s="587">
        <x:f>+SUM(S5:AD5)</x:f>
        <x:v>6309850.8000000007</x:v>
      </x:c>
    </x:row>
    <x:row r="6" spans="2:31" ht="25.15" customHeight="1">
      <x:c r="B6" s="413" t="s">
        <x:v>295</x:v>
      </x:c>
      <x:c r="C6" s="615" t="s">
        <x:v>287</x:v>
      </x:c>
      <x:c r="D6" s="615" t="s">
        <x:v>287</x:v>
      </x:c>
      <x:c r="E6" s="615" t="s">
        <x:v>287</x:v>
      </x:c>
      <x:c r="F6" s="615" t="s">
        <x:v>287</x:v>
      </x:c>
      <x:c r="G6" s="615" t="s">
        <x:v>287</x:v>
      </x:c>
      <x:c r="H6" s="615" t="s">
        <x:v>287</x:v>
      </x:c>
      <x:c r="I6" s="615" t="s">
        <x:v>287</x:v>
      </x:c>
      <x:c r="J6" s="615" t="s">
        <x:v>287</x:v>
      </x:c>
      <x:c r="K6" s="615" t="s">
        <x:v>287</x:v>
      </x:c>
      <x:c r="L6" s="615" t="s">
        <x:v>287</x:v>
      </x:c>
      <x:c r="M6" s="615" t="s">
        <x:v>287</x:v>
      </x:c>
      <x:c r="N6" s="615" t="s">
        <x:v>287</x:v>
      </x:c>
      <x:c r="O6" s="701">
        <x:f t="shared" ref="O6" si="1">+SUM(C6:N6)</x:f>
        <x:v>0</x:v>
      </x:c>
      <x:c r="P6" s="455"/>
      <x:c r="Q6" s="769"/>
      <x:c r="R6" s="413" t="s">
        <x:v>295</x:v>
      </x:c>
      <x:c r="S6" s="434">
        <x:v>6.4000000000000003E-3</x:v>
      </x:c>
      <x:c r="T6" s="434">
        <x:v>8.5000000000000006E-3</x:v>
      </x:c>
      <x:c r="U6" s="434">
        <x:v>6.6E-3</x:v>
      </x:c>
      <x:c r="V6" s="434">
        <x:v>9.2999999999999992E-3</x:v>
      </x:c>
      <x:c r="W6" s="434">
        <x:v>5.5999999999999999E-3</x:v>
      </x:c>
      <x:c r="X6" s="434">
        <x:v>4.1999999999999997E-3</x:v>
      </x:c>
      <x:c r="Y6" s="434">
        <x:v>5.5999999999999999E-3</x:v>
      </x:c>
      <x:c r="Z6" s="434">
        <x:v>4.5999999999999999E-3</x:v>
      </x:c>
      <x:c r="AA6" s="434">
        <x:v>7.1999999999999998E-3</x:v>
      </x:c>
      <x:c r="AB6" s="434">
        <x:v>8.0999999999999996E-3</x:v>
      </x:c>
      <x:c r="AC6" s="434">
        <x:f>AVERAGE(S6:AB6)</x:f>
        <x:v>6.6099999999999996E-3</x:v>
      </x:c>
      <x:c r="AD6" s="809">
        <x:f t="shared" ref="AD6:AD20" si="2">AC6</x:f>
        <x:v>6.6099999999999996E-3</x:v>
      </x:c>
      <x:c r="AE6" s="632">
        <x:f>AVERAGE(S6:AD6)</x:f>
        <x:v>6.6100000000000004E-3</x:v>
      </x:c>
    </x:row>
    <x:row r="7" spans="2:31" ht="25.15" customHeight="1">
      <x:c r="B7" s="413" t="s">
        <x:v>296</x:v>
      </x:c>
      <x:c r="C7" s="782"/>
      <x:c r="D7" s="782"/>
      <x:c r="E7" s="782"/>
      <x:c r="F7" s="782"/>
      <x:c r="G7" s="782"/>
      <x:c r="H7" s="782"/>
      <x:c r="I7" s="782"/>
      <x:c r="J7" s="782"/>
      <x:c r="K7" s="782"/>
      <x:c r="L7" s="782"/>
      <x:c r="M7" s="782"/>
      <x:c r="N7" s="782"/>
      <x:c r="O7" s="701"/>
      <x:c r="P7" s="455"/>
      <x:c r="Q7" s="769"/>
      <x:c r="R7" s="413" t="s">
        <x:v>296</x:v>
      </x:c>
      <x:c r="S7" s="782">
        <x:v>51</x:v>
      </x:c>
      <x:c r="T7" s="782">
        <x:v>53</x:v>
      </x:c>
      <x:c r="U7" s="782">
        <x:v>58</x:v>
      </x:c>
      <x:c r="V7" s="782">
        <x:v>63</x:v>
      </x:c>
      <x:c r="W7" s="782">
        <x:v>55</x:v>
      </x:c>
      <x:c r="X7" s="782">
        <x:v>40</x:v>
      </x:c>
      <x:c r="Y7" s="782">
        <x:v>56</x:v>
      </x:c>
      <x:c r="Z7" s="782">
        <x:v>30</x:v>
      </x:c>
      <x:c r="AA7" s="782">
        <x:v>44</x:v>
      </x:c>
      <x:c r="AB7" s="782">
        <x:v>46</x:v>
      </x:c>
      <x:c r="AC7" s="470">
        <x:f t="shared" ref="AC7:AC20" si="3">AVERAGE(S7:AB7)</x:f>
        <x:v>49.6</x:v>
      </x:c>
      <x:c r="AD7" s="734">
        <x:f t="shared" si="2"/>
        <x:v>49.6</x:v>
      </x:c>
      <x:c r="AE7" s="431">
        <x:f>AVERAGE(S7:AD7)</x:f>
        <x:v>49.6</x:v>
      </x:c>
    </x:row>
    <x:row r="8" spans="2:31" ht="5.45" customHeight="1">
      <x:c r="B8" s="382"/>
      <x:c r="C8" s="382"/>
      <x:c r="D8" s="382"/>
      <x:c r="E8" s="382"/>
      <x:c r="F8" s="382"/>
      <x:c r="G8" s="382"/>
      <x:c r="H8" s="382"/>
      <x:c r="I8" s="382"/>
      <x:c r="J8" s="382"/>
      <x:c r="K8" s="382"/>
      <x:c r="L8" s="382"/>
      <x:c r="M8" s="382"/>
      <x:c r="N8" s="382"/>
      <x:c r="O8" s="382"/>
      <x:c r="P8" s="560"/>
      <x:c r="Q8" s="769"/>
      <x:c r="R8" s="769"/>
      <x:c r="S8" s="382"/>
      <x:c r="T8" s="382"/>
      <x:c r="U8" s="382"/>
      <x:c r="V8" s="382"/>
      <x:c r="W8" s="382"/>
      <x:c r="X8" s="382"/>
      <x:c r="Y8" s="382"/>
      <x:c r="Z8" s="382"/>
      <x:c r="AA8" s="382"/>
      <x:c r="AB8" s="382"/>
      <x:c r="AC8" s="382"/>
      <x:c r="AD8" s="382"/>
      <x:c r="AE8" s="382"/>
    </x:row>
    <x:row r="9" spans="2:31" ht="25.15" customHeight="1">
      <x:c r="B9" s="601" t="s">
        <x:v>876</x:v>
      </x:c>
      <x:c r="C9" s="380">
        <x:f>$O$9/12</x:f>
        <x:v>49343.5</x:v>
      </x:c>
      <x:c r="D9" s="380">
        <x:f t="shared" ref="D9:N9" si="4">$O$9/12</x:f>
        <x:v>49343.5</x:v>
      </x:c>
      <x:c r="E9" s="380">
        <x:f t="shared" si="4"/>
        <x:v>49343.5</x:v>
      </x:c>
      <x:c r="F9" s="380">
        <x:f t="shared" si="4"/>
        <x:v>49343.5</x:v>
      </x:c>
      <x:c r="G9" s="380">
        <x:f t="shared" si="4"/>
        <x:v>49343.5</x:v>
      </x:c>
      <x:c r="H9" s="380">
        <x:f t="shared" si="4"/>
        <x:v>49343.5</x:v>
      </x:c>
      <x:c r="I9" s="380">
        <x:f t="shared" si="4"/>
        <x:v>49343.5</x:v>
      </x:c>
      <x:c r="J9" s="380">
        <x:f t="shared" si="4"/>
        <x:v>49343.5</x:v>
      </x:c>
      <x:c r="K9" s="380">
        <x:f t="shared" si="4"/>
        <x:v>49343.5</x:v>
      </x:c>
      <x:c r="L9" s="380">
        <x:f t="shared" si="4"/>
        <x:v>49343.5</x:v>
      </x:c>
      <x:c r="M9" s="380">
        <x:f t="shared" si="4"/>
        <x:v>49343.5</x:v>
      </x:c>
      <x:c r="N9" s="380">
        <x:f t="shared" si="4"/>
        <x:v>49343.5</x:v>
      </x:c>
      <x:c r="O9" s="724">
        <x:f>AE9</x:f>
        <x:v>592122</x:v>
      </x:c>
      <x:c r="P9" s="731"/>
      <x:c r="Q9" s="769"/>
      <x:c r="R9" s="604" t="s">
        <x:v>297</x:v>
      </x:c>
      <x:c r="S9" s="568">
        <x:v>49343.5</x:v>
      </x:c>
      <x:c r="T9" s="568">
        <x:v>49343.5</x:v>
      </x:c>
      <x:c r="U9" s="568">
        <x:v>49343.5</x:v>
      </x:c>
      <x:c r="V9" s="568">
        <x:v>49343.5</x:v>
      </x:c>
      <x:c r="W9" s="568">
        <x:v>49343.5</x:v>
      </x:c>
      <x:c r="X9" s="568">
        <x:v>49343.5</x:v>
      </x:c>
      <x:c r="Y9" s="568">
        <x:v>49343.5</x:v>
      </x:c>
      <x:c r="Z9" s="568">
        <x:v>49343.5</x:v>
      </x:c>
      <x:c r="AA9" s="568">
        <x:v>49343.5</x:v>
      </x:c>
      <x:c r="AB9" s="568">
        <x:v>49343.5</x:v>
      </x:c>
      <x:c r="AC9" s="568">
        <x:v>49343.5</x:v>
      </x:c>
      <x:c r="AD9" s="766">
        <x:v>49343.5</x:v>
      </x:c>
      <x:c r="AE9" s="775">
        <x:v>592122</x:v>
      </x:c>
    </x:row>
    <x:row r="10" spans="2:31" ht="25.15" customHeight="1">
      <x:c r="B10" s="638"/>
      <x:c r="C10" s="381"/>
      <x:c r="D10" s="381"/>
      <x:c r="E10" s="381"/>
      <x:c r="F10" s="381"/>
      <x:c r="G10" s="381"/>
      <x:c r="H10" s="381"/>
      <x:c r="I10" s="381"/>
      <x:c r="J10" s="381"/>
      <x:c r="K10" s="381"/>
      <x:c r="L10" s="381"/>
      <x:c r="M10" s="381"/>
      <x:c r="N10" s="381"/>
      <x:c r="O10" s="659"/>
      <x:c r="P10" s="465"/>
      <x:c r="Q10" s="769"/>
      <x:c r="R10" s="483"/>
      <x:c r="S10" s="757"/>
      <x:c r="T10" s="757"/>
      <x:c r="U10" s="757"/>
      <x:c r="V10" s="757"/>
      <x:c r="W10" s="757"/>
      <x:c r="X10" s="757"/>
      <x:c r="Y10" s="757"/>
      <x:c r="Z10" s="757"/>
      <x:c r="AA10" s="757"/>
      <x:c r="AB10" s="757"/>
      <x:c r="AC10" s="562"/>
      <x:c r="AD10" s="507"/>
      <x:c r="AE10" s="499"/>
    </x:row>
    <x:row r="11" spans="2:31" ht="25.15" customHeight="1">
      <x:c r="B11" s="736" t="s">
        <x:v>298</x:v>
      </x:c>
      <x:c r="C11" s="380">
        <x:f t="shared" ref="C11:N11" si="5">$O$11/12</x:f>
        <x:v>235761.71666666667</x:v>
      </x:c>
      <x:c r="D11" s="380">
        <x:f t="shared" si="5"/>
        <x:v>235761.71666666667</x:v>
      </x:c>
      <x:c r="E11" s="380">
        <x:f t="shared" si="5"/>
        <x:v>235761.71666666667</x:v>
      </x:c>
      <x:c r="F11" s="380">
        <x:f t="shared" si="5"/>
        <x:v>235761.71666666667</x:v>
      </x:c>
      <x:c r="G11" s="380">
        <x:f t="shared" si="5"/>
        <x:v>235761.71666666667</x:v>
      </x:c>
      <x:c r="H11" s="380">
        <x:f t="shared" si="5"/>
        <x:v>235761.71666666667</x:v>
      </x:c>
      <x:c r="I11" s="380">
        <x:f t="shared" si="5"/>
        <x:v>235761.71666666667</x:v>
      </x:c>
      <x:c r="J11" s="380">
        <x:f t="shared" si="5"/>
        <x:v>235761.71666666667</x:v>
      </x:c>
      <x:c r="K11" s="380">
        <x:f t="shared" si="5"/>
        <x:v>235761.71666666667</x:v>
      </x:c>
      <x:c r="L11" s="380">
        <x:f t="shared" si="5"/>
        <x:v>235761.71666666667</x:v>
      </x:c>
      <x:c r="M11" s="380">
        <x:f t="shared" si="5"/>
        <x:v>235761.71666666667</x:v>
      </x:c>
      <x:c r="N11" s="380">
        <x:f t="shared" si="5"/>
        <x:v>235761.71666666667</x:v>
      </x:c>
      <x:c r="O11" s="724">
        <x:f>AE11*1.3</x:f>
        <x:v>2829140.6</x:v>
      </x:c>
      <x:c r="P11" s="731" t="s">
        <x:v>1186</x:v>
      </x:c>
      <x:c r="Q11" s="769"/>
      <x:c r="R11" s="604" t="s">
        <x:v>298</x:v>
      </x:c>
      <x:c r="S11" s="568">
        <x:v>175972</x:v>
      </x:c>
      <x:c r="T11" s="568">
        <x:v>208519</x:v>
      </x:c>
      <x:c r="U11" s="568">
        <x:v>219588</x:v>
      </x:c>
      <x:c r="V11" s="568">
        <x:v>264944</x:v>
      </x:c>
      <x:c r="W11" s="568">
        <x:v>234378</x:v>
      </x:c>
      <x:c r="X11" s="568">
        <x:v>145406</x:v>
      </x:c>
      <x:c r="Y11" s="568">
        <x:v>270344</x:v>
      </x:c>
      <x:c r="Z11" s="568">
        <x:v>196568</x:v>
      </x:c>
      <x:c r="AA11" s="568">
        <x:v>233288</x:v>
      </x:c>
      <x:c r="AB11" s="568">
        <x:v>227256</x:v>
      </x:c>
      <x:c r="AC11" s="568">
        <x:f t="shared" si="3"/>
        <x:v>217626.3</x:v>
      </x:c>
      <x:c r="AD11" s="766">
        <x:f t="shared" si="2"/>
        <x:v>217626.3</x:v>
      </x:c>
      <x:c r="AE11" s="775">
        <x:v>2176262</x:v>
      </x:c>
    </x:row>
    <x:row r="12" spans="2:31" ht="25.15" customHeight="1">
      <x:c r="B12" s="638" t="s">
        <x:v>299</x:v>
      </x:c>
      <x:c r="C12" s="381"/>
      <x:c r="D12" s="381"/>
      <x:c r="E12" s="381"/>
      <x:c r="F12" s="381"/>
      <x:c r="G12" s="381"/>
      <x:c r="H12" s="381"/>
      <x:c r="I12" s="381"/>
      <x:c r="J12" s="381"/>
      <x:c r="K12" s="381"/>
      <x:c r="L12" s="381"/>
      <x:c r="M12" s="381"/>
      <x:c r="N12" s="381"/>
      <x:c r="O12" s="659"/>
      <x:c r="P12" s="465"/>
      <x:c r="Q12" s="769"/>
      <x:c r="R12" s="483" t="s">
        <x:v>299</x:v>
      </x:c>
      <x:c r="S12" s="757">
        <x:v>16</x:v>
      </x:c>
      <x:c r="T12" s="757">
        <x:v>19</x:v>
      </x:c>
      <x:c r="U12" s="757">
        <x:v>20</x:v>
      </x:c>
      <x:c r="V12" s="757">
        <x:v>21</x:v>
      </x:c>
      <x:c r="W12" s="757">
        <x:v>18</x:v>
      </x:c>
      <x:c r="X12" s="757">
        <x:v>10</x:v>
      </x:c>
      <x:c r="Y12" s="757">
        <x:v>19</x:v>
      </x:c>
      <x:c r="Z12" s="757">
        <x:v>12</x:v>
      </x:c>
      <x:c r="AA12" s="757">
        <x:v>13</x:v>
      </x:c>
      <x:c r="AB12" s="757">
        <x:v>14</x:v>
      </x:c>
      <x:c r="AC12" s="562">
        <x:f t="shared" si="3"/>
        <x:v>16.2</x:v>
      </x:c>
      <x:c r="AD12" s="507">
        <x:f t="shared" si="2"/>
        <x:v>16.2</x:v>
      </x:c>
      <x:c r="AE12" s="499">
        <x:v>162</x:v>
      </x:c>
    </x:row>
    <x:row r="13" spans="2:31" ht="25.15" customHeight="1">
      <x:c r="B13" s="736" t="s">
        <x:v>298</x:v>
      </x:c>
      <x:c r="C13" s="380">
        <x:f t="shared" ref="C13:N13" si="6">$O$13/12</x:f>
        <x:v>222995.5</x:v>
      </x:c>
      <x:c r="D13" s="380">
        <x:f t="shared" si="6"/>
        <x:v>222995.5</x:v>
      </x:c>
      <x:c r="E13" s="380">
        <x:f t="shared" si="6"/>
        <x:v>222995.5</x:v>
      </x:c>
      <x:c r="F13" s="380">
        <x:f t="shared" si="6"/>
        <x:v>222995.5</x:v>
      </x:c>
      <x:c r="G13" s="380">
        <x:f t="shared" si="6"/>
        <x:v>222995.5</x:v>
      </x:c>
      <x:c r="H13" s="380">
        <x:f t="shared" si="6"/>
        <x:v>222995.5</x:v>
      </x:c>
      <x:c r="I13" s="380">
        <x:f t="shared" si="6"/>
        <x:v>222995.5</x:v>
      </x:c>
      <x:c r="J13" s="380">
        <x:f t="shared" si="6"/>
        <x:v>222995.5</x:v>
      </x:c>
      <x:c r="K13" s="380">
        <x:f t="shared" si="6"/>
        <x:v>222995.5</x:v>
      </x:c>
      <x:c r="L13" s="380">
        <x:f t="shared" si="6"/>
        <x:v>222995.5</x:v>
      </x:c>
      <x:c r="M13" s="380">
        <x:f t="shared" si="6"/>
        <x:v>222995.5</x:v>
      </x:c>
      <x:c r="N13" s="380">
        <x:f t="shared" si="6"/>
        <x:v>222995.5</x:v>
      </x:c>
      <x:c r="O13" s="724">
        <x:f>AE13*1.3</x:f>
        <x:v>2675946</x:v>
      </x:c>
      <x:c r="P13" s="731" t="s">
        <x:v>1186</x:v>
      </x:c>
      <x:c r="Q13" s="769"/>
      <x:c r="R13" s="604" t="s">
        <x:v>298</x:v>
      </x:c>
      <x:c r="S13" s="568">
        <x:v>236640</x:v>
      </x:c>
      <x:c r="T13" s="568">
        <x:v>207640</x:v>
      </x:c>
      <x:c r="U13" s="568">
        <x:v>244180</x:v>
      </x:c>
      <x:c r="V13" s="568">
        <x:v>236640</x:v>
      </x:c>
      <x:c r="W13" s="568">
        <x:v>193140</x:v>
      </x:c>
      <x:c r="X13" s="568">
        <x:v>182700</x:v>
      </x:c>
      <x:c r="Y13" s="568">
        <x:v>135430</x:v>
      </x:c>
      <x:c r="Z13" s="568">
        <x:v>147030</x:v>
      </x:c>
      <x:c r="AA13" s="568">
        <x:v>247312</x:v>
      </x:c>
      <x:c r="AB13" s="568">
        <x:v>227708</x:v>
      </x:c>
      <x:c r="AC13" s="568">
        <x:f t="shared" si="3"/>
        <x:v>205842</x:v>
      </x:c>
      <x:c r="AD13" s="766">
        <x:f t="shared" si="2"/>
        <x:v>205842</x:v>
      </x:c>
      <x:c r="AE13" s="775">
        <x:v>2058420</x:v>
      </x:c>
    </x:row>
    <x:row r="14" spans="2:31" ht="25.15" customHeight="1">
      <x:c r="B14" s="638" t="s">
        <x:v>300</x:v>
      </x:c>
      <x:c r="C14" s="381"/>
      <x:c r="D14" s="381"/>
      <x:c r="E14" s="381"/>
      <x:c r="F14" s="381"/>
      <x:c r="G14" s="381"/>
      <x:c r="H14" s="381"/>
      <x:c r="I14" s="381"/>
      <x:c r="J14" s="381"/>
      <x:c r="K14" s="381"/>
      <x:c r="L14" s="381"/>
      <x:c r="M14" s="381"/>
      <x:c r="N14" s="381"/>
      <x:c r="O14" s="659"/>
      <x:c r="P14" s="465"/>
      <x:c r="Q14" s="769"/>
      <x:c r="R14" s="483" t="s">
        <x:v>300</x:v>
      </x:c>
      <x:c r="S14" s="757">
        <x:v>13</x:v>
      </x:c>
      <x:c r="T14" s="757">
        <x:v>11</x:v>
      </x:c>
      <x:c r="U14" s="757">
        <x:v>12</x:v>
      </x:c>
      <x:c r="V14" s="757">
        <x:v>13</x:v>
      </x:c>
      <x:c r="W14" s="757">
        <x:v>10</x:v>
      </x:c>
      <x:c r="X14" s="757">
        <x:v>9</x:v>
      </x:c>
      <x:c r="Y14" s="757">
        <x:v>8</x:v>
      </x:c>
      <x:c r="Z14" s="757">
        <x:v>6</x:v>
      </x:c>
      <x:c r="AA14" s="757">
        <x:v>10</x:v>
      </x:c>
      <x:c r="AB14" s="757">
        <x:v>10</x:v>
      </x:c>
      <x:c r="AC14" s="562">
        <x:f t="shared" si="3"/>
        <x:v>10.199999999999999</x:v>
      </x:c>
      <x:c r="AD14" s="507">
        <x:f t="shared" si="2"/>
        <x:v>10.199999999999999</x:v>
      </x:c>
      <x:c r="AE14" s="499">
        <x:v>102</x:v>
      </x:c>
    </x:row>
    <x:row r="15" spans="2:31" ht="25.15" customHeight="1">
      <x:c r="B15" s="736" t="s">
        <x:v>298</x:v>
      </x:c>
      <x:c r="C15" s="380">
        <x:f t="shared" ref="C15:N15" si="7">$O$15/12</x:f>
        <x:v>39192.291666666664</x:v>
      </x:c>
      <x:c r="D15" s="380">
        <x:f t="shared" si="7"/>
        <x:v>39192.291666666664</x:v>
      </x:c>
      <x:c r="E15" s="380">
        <x:f t="shared" si="7"/>
        <x:v>39192.291666666664</x:v>
      </x:c>
      <x:c r="F15" s="380">
        <x:f t="shared" si="7"/>
        <x:v>39192.291666666664</x:v>
      </x:c>
      <x:c r="G15" s="380">
        <x:f t="shared" si="7"/>
        <x:v>39192.291666666664</x:v>
      </x:c>
      <x:c r="H15" s="380">
        <x:f t="shared" si="7"/>
        <x:v>39192.291666666664</x:v>
      </x:c>
      <x:c r="I15" s="380">
        <x:f t="shared" si="7"/>
        <x:v>39192.291666666664</x:v>
      </x:c>
      <x:c r="J15" s="380">
        <x:f t="shared" si="7"/>
        <x:v>39192.291666666664</x:v>
      </x:c>
      <x:c r="K15" s="380">
        <x:f t="shared" si="7"/>
        <x:v>39192.291666666664</x:v>
      </x:c>
      <x:c r="L15" s="380">
        <x:f t="shared" si="7"/>
        <x:v>39192.291666666664</x:v>
      </x:c>
      <x:c r="M15" s="380">
        <x:f t="shared" si="7"/>
        <x:v>39192.291666666664</x:v>
      </x:c>
      <x:c r="N15" s="380">
        <x:f t="shared" si="7"/>
        <x:v>39192.291666666664</x:v>
      </x:c>
      <x:c r="O15" s="724">
        <x:f>AE15*1.3</x:f>
        <x:v>470307.5</x:v>
      </x:c>
      <x:c r="P15" s="731" t="s">
        <x:v>1186</x:v>
      </x:c>
      <x:c r="Q15" s="769"/>
      <x:c r="R15" s="604" t="s">
        <x:v>298</x:v>
      </x:c>
      <x:c r="S15" s="568">
        <x:v>11020</x:v>
      </x:c>
      <x:c r="T15" s="568">
        <x:v>66120</x:v>
      </x:c>
      <x:c r="U15" s="568">
        <x:v>65540</x:v>
      </x:c>
      <x:c r="V15" s="568">
        <x:v>31320</x:v>
      </x:c>
      <x:c r="W15" s="568">
        <x:v>26100</x:v>
      </x:c>
      <x:c r="X15" s="568">
        <x:v>15660</x:v>
      </x:c>
      <x:c r="Y15" s="568">
        <x:v>29580</x:v>
      </x:c>
      <x:c r="Z15" s="568">
        <x:v>40919</x:v>
      </x:c>
      <x:c r="AA15" s="568">
        <x:v>54636</x:v>
      </x:c>
      <x:c r="AB15" s="568">
        <x:v>20880</x:v>
      </x:c>
      <x:c r="AC15" s="568">
        <x:f t="shared" si="3"/>
        <x:v>36177.5</x:v>
      </x:c>
      <x:c r="AD15" s="766">
        <x:f t="shared" si="2"/>
        <x:v>36177.5</x:v>
      </x:c>
      <x:c r="AE15" s="775">
        <x:v>361775</x:v>
      </x:c>
    </x:row>
    <x:row r="16" spans="2:31" ht="25.15" customHeight="1">
      <x:c r="B16" s="638" t="s">
        <x:v>301</x:v>
      </x:c>
      <x:c r="C16" s="381"/>
      <x:c r="D16" s="381"/>
      <x:c r="E16" s="381"/>
      <x:c r="F16" s="381"/>
      <x:c r="G16" s="381"/>
      <x:c r="H16" s="381"/>
      <x:c r="I16" s="381"/>
      <x:c r="J16" s="381"/>
      <x:c r="K16" s="381"/>
      <x:c r="L16" s="381"/>
      <x:c r="M16" s="381"/>
      <x:c r="N16" s="381"/>
      <x:c r="O16" s="659"/>
      <x:c r="P16" s="465"/>
      <x:c r="Q16" s="769"/>
      <x:c r="R16" s="483" t="s">
        <x:v>301</x:v>
      </x:c>
      <x:c r="S16" s="757">
        <x:v>1</x:v>
      </x:c>
      <x:c r="T16" s="757">
        <x:v>6</x:v>
      </x:c>
      <x:c r="U16" s="757">
        <x:v>7</x:v>
      </x:c>
      <x:c r="V16" s="757">
        <x:v>6</x:v>
      </x:c>
      <x:c r="W16" s="757">
        <x:v>5</x:v>
      </x:c>
      <x:c r="X16" s="757">
        <x:v>3</x:v>
      </x:c>
      <x:c r="Y16" s="757">
        <x:v>5</x:v>
      </x:c>
      <x:c r="Z16" s="757">
        <x:v>5</x:v>
      </x:c>
      <x:c r="AA16" s="757">
        <x:v>5</x:v>
      </x:c>
      <x:c r="AB16" s="757">
        <x:v>3</x:v>
      </x:c>
      <x:c r="AC16" s="562">
        <x:f t="shared" si="3"/>
        <x:v>4.5999999999999996</x:v>
      </x:c>
      <x:c r="AD16" s="507">
        <x:f t="shared" si="2"/>
        <x:v>4.5999999999999996</x:v>
      </x:c>
      <x:c r="AE16" s="499">
        <x:v>46</x:v>
      </x:c>
    </x:row>
    <x:row r="17" spans="2:31" ht="25.15" customHeight="1">
      <x:c r="B17" s="736" t="s">
        <x:v>302</x:v>
      </x:c>
      <x:c r="C17" s="380">
        <x:f t="shared" ref="C17:N17" si="8">$O$17/12</x:f>
        <x:v>7543.1416666666664</x:v>
      </x:c>
      <x:c r="D17" s="380">
        <x:f t="shared" si="8"/>
        <x:v>7543.1416666666664</x:v>
      </x:c>
      <x:c r="E17" s="380">
        <x:f t="shared" si="8"/>
        <x:v>7543.1416666666664</x:v>
      </x:c>
      <x:c r="F17" s="380">
        <x:f t="shared" si="8"/>
        <x:v>7543.1416666666664</x:v>
      </x:c>
      <x:c r="G17" s="380">
        <x:f t="shared" si="8"/>
        <x:v>7543.1416666666664</x:v>
      </x:c>
      <x:c r="H17" s="380">
        <x:f t="shared" si="8"/>
        <x:v>7543.1416666666664</x:v>
      </x:c>
      <x:c r="I17" s="380">
        <x:f t="shared" si="8"/>
        <x:v>7543.1416666666664</x:v>
      </x:c>
      <x:c r="J17" s="380">
        <x:f t="shared" si="8"/>
        <x:v>7543.1416666666664</x:v>
      </x:c>
      <x:c r="K17" s="380">
        <x:f t="shared" si="8"/>
        <x:v>7543.1416666666664</x:v>
      </x:c>
      <x:c r="L17" s="380">
        <x:f t="shared" si="8"/>
        <x:v>7543.1416666666664</x:v>
      </x:c>
      <x:c r="M17" s="380">
        <x:f t="shared" si="8"/>
        <x:v>7543.1416666666664</x:v>
      </x:c>
      <x:c r="N17" s="380">
        <x:f t="shared" si="8"/>
        <x:v>7543.1416666666664</x:v>
      </x:c>
      <x:c r="O17" s="724">
        <x:f>AE17*1.3</x:f>
        <x:v>90517.7</x:v>
      </x:c>
      <x:c r="P17" s="731" t="s">
        <x:v>1186</x:v>
      </x:c>
      <x:c r="Q17" s="769"/>
      <x:c r="R17" s="1390" t="s">
        <x:v>302</x:v>
      </x:c>
      <x:c r="S17" s="759">
        <x:v>7540</x:v>
      </x:c>
      <x:c r="T17" s="568">
        <x:v>10440</x:v>
      </x:c>
      <x:c r="U17" s="568">
        <x:v>5220</x:v>
      </x:c>
      <x:c r="V17" s="568">
        <x:v>5220</x:v>
      </x:c>
      <x:c r="W17" s="508" t="s">
        <x:v>304</x:v>
      </x:c>
      <x:c r="X17" s="568">
        <x:v>9860</x:v>
      </x:c>
      <x:c r="Y17" s="568">
        <x:v>2320</x:v>
      </x:c>
      <x:c r="Z17" s="508" t="s">
        <x:v>304</x:v>
      </x:c>
      <x:c r="AA17" s="568">
        <x:v>5278</x:v>
      </x:c>
      <x:c r="AB17" s="568">
        <x:v>23751</x:v>
      </x:c>
      <x:c r="AC17" s="568">
        <x:f t="shared" si="3"/>
        <x:v>8703.625</x:v>
      </x:c>
      <x:c r="AD17" s="766">
        <x:f t="shared" si="2"/>
        <x:v>8703.625</x:v>
      </x:c>
      <x:c r="AE17" s="775">
        <x:v>69629</x:v>
      </x:c>
    </x:row>
    <x:row r="18" spans="2:31" ht="25.15" customHeight="1">
      <x:c r="B18" s="638"/>
      <x:c r="C18" s="381"/>
      <x:c r="D18" s="381"/>
      <x:c r="E18" s="381"/>
      <x:c r="F18" s="381"/>
      <x:c r="G18" s="381"/>
      <x:c r="H18" s="381"/>
      <x:c r="I18" s="381"/>
      <x:c r="J18" s="381"/>
      <x:c r="K18" s="381"/>
      <x:c r="L18" s="381"/>
      <x:c r="M18" s="381"/>
      <x:c r="N18" s="381"/>
      <x:c r="O18" s="659"/>
      <x:c r="P18" s="465"/>
      <x:c r="Q18" s="769"/>
      <x:c r="R18" s="1391"/>
      <x:c r="S18" s="524">
        <x:v>3</x:v>
      </x:c>
      <x:c r="T18" s="757">
        <x:v>2</x:v>
      </x:c>
      <x:c r="U18" s="757">
        <x:v>2</x:v>
      </x:c>
      <x:c r="V18" s="757">
        <x:v>2</x:v>
      </x:c>
      <x:c r="W18" s="757">
        <x:v>0</x:v>
      </x:c>
      <x:c r="X18" s="757">
        <x:v>2</x:v>
      </x:c>
      <x:c r="Y18" s="757">
        <x:v>1</x:v>
      </x:c>
      <x:c r="Z18" s="757">
        <x:v>0</x:v>
      </x:c>
      <x:c r="AA18" s="757">
        <x:v>1</x:v>
      </x:c>
      <x:c r="AB18" s="757">
        <x:v>6</x:v>
      </x:c>
      <x:c r="AC18" s="562">
        <x:f t="shared" si="3"/>
        <x:v>1.9</x:v>
      </x:c>
      <x:c r="AD18" s="507">
        <x:f t="shared" si="2"/>
        <x:v>1.9</x:v>
      </x:c>
      <x:c r="AE18" s="499">
        <x:v>19</x:v>
      </x:c>
    </x:row>
    <x:row r="19" spans="2:31" ht="25.15" customHeight="1">
      <x:c r="B19" s="736" t="s">
        <x:v>186</x:v>
      </x:c>
      <x:c r="C19" s="380">
        <x:f>SUM(C9,C11,C13,C15,C17)</x:f>
        <x:v>554836.15</x:v>
      </x:c>
      <x:c r="D19" s="380">
        <x:f t="shared" ref="D19:M19" si="9">SUM(D9,D11,D13,D15,D17)</x:f>
        <x:v>554836.15</x:v>
      </x:c>
      <x:c r="E19" s="380">
        <x:f t="shared" si="9"/>
        <x:v>554836.15</x:v>
      </x:c>
      <x:c r="F19" s="380">
        <x:f t="shared" si="9"/>
        <x:v>554836.15</x:v>
      </x:c>
      <x:c r="G19" s="380">
        <x:f t="shared" si="9"/>
        <x:v>554836.15</x:v>
      </x:c>
      <x:c r="H19" s="380">
        <x:f t="shared" si="9"/>
        <x:v>554836.15</x:v>
      </x:c>
      <x:c r="I19" s="380">
        <x:f t="shared" si="9"/>
        <x:v>554836.15</x:v>
      </x:c>
      <x:c r="J19" s="380">
        <x:f t="shared" si="9"/>
        <x:v>554836.15</x:v>
      </x:c>
      <x:c r="K19" s="380">
        <x:f t="shared" si="9"/>
        <x:v>554836.15</x:v>
      </x:c>
      <x:c r="L19" s="380">
        <x:f t="shared" si="9"/>
        <x:v>554836.15</x:v>
      </x:c>
      <x:c r="M19" s="380">
        <x:f t="shared" si="9"/>
        <x:v>554836.15</x:v>
      </x:c>
      <x:c r="N19" s="380">
        <x:f>SUM(N9,N11,N13,N15,N17)</x:f>
        <x:v>554836.15</x:v>
      </x:c>
      <x:c r="O19" s="405">
        <x:f>SUM(O9,O11,O13,O15,O17)</x:f>
        <x:v>6658033.7999999998</x:v>
      </x:c>
      <x:c r="P19" s="456" t="s">
        <x:v>1187</x:v>
      </x:c>
      <x:c r="Q19" s="769"/>
      <x:c r="R19" s="1390" t="s">
        <x:v>186</x:v>
      </x:c>
      <x:c r="S19" s="759">
        <x:v>486446</x:v>
      </x:c>
      <x:c r="T19" s="568">
        <x:v>547529</x:v>
      </x:c>
      <x:c r="U19" s="568">
        <x:v>593398</x:v>
      </x:c>
      <x:c r="V19" s="568">
        <x:v>599024</x:v>
      </x:c>
      <x:c r="W19" s="568">
        <x:v>518578</x:v>
      </x:c>
      <x:c r="X19" s="568">
        <x:v>410466</x:v>
      </x:c>
      <x:c r="Y19" s="568">
        <x:v>507709</x:v>
      </x:c>
      <x:c r="Z19" s="568">
        <x:v>408268</x:v>
      </x:c>
      <x:c r="AA19" s="568">
        <x:v>623860</x:v>
      </x:c>
      <x:c r="AB19" s="568">
        <x:v>562931</x:v>
      </x:c>
      <x:c r="AC19" s="568">
        <x:f>AVERAGE(S19:AB19)</x:f>
        <x:v>525820.9</x:v>
      </x:c>
      <x:c r="AD19" s="766">
        <x:f t="shared" si="2"/>
        <x:v>525820.9</x:v>
      </x:c>
      <x:c r="AE19" s="775">
        <x:v>5258208</x:v>
      </x:c>
    </x:row>
    <x:row r="20" spans="2:31" ht="25.15" customHeight="1">
      <x:c r="B20" s="638"/>
      <x:c r="C20" s="381"/>
      <x:c r="D20" s="381"/>
      <x:c r="E20" s="381"/>
      <x:c r="F20" s="381"/>
      <x:c r="G20" s="381"/>
      <x:c r="H20" s="381"/>
      <x:c r="I20" s="381"/>
      <x:c r="J20" s="381"/>
      <x:c r="K20" s="381"/>
      <x:c r="L20" s="381"/>
      <x:c r="M20" s="381"/>
      <x:c r="N20" s="381"/>
      <x:c r="O20" s="659"/>
      <x:c r="P20" s="465"/>
      <x:c r="Q20" s="769"/>
      <x:c r="R20" s="1391"/>
      <x:c r="S20" s="524">
        <x:v>51</x:v>
      </x:c>
      <x:c r="T20" s="757">
        <x:v>53</x:v>
      </x:c>
      <x:c r="U20" s="757">
        <x:v>58</x:v>
      </x:c>
      <x:c r="V20" s="757">
        <x:v>63</x:v>
      </x:c>
      <x:c r="W20" s="757">
        <x:v>55</x:v>
      </x:c>
      <x:c r="X20" s="757">
        <x:v>40</x:v>
      </x:c>
      <x:c r="Y20" s="757">
        <x:v>56</x:v>
      </x:c>
      <x:c r="Z20" s="757">
        <x:v>30</x:v>
      </x:c>
      <x:c r="AA20" s="757">
        <x:v>44</x:v>
      </x:c>
      <x:c r="AB20" s="757">
        <x:v>46</x:v>
      </x:c>
      <x:c r="AC20" s="562">
        <x:f t="shared" si="3"/>
        <x:v>49.6</x:v>
      </x:c>
      <x:c r="AD20" s="507">
        <x:f t="shared" si="2"/>
        <x:v>49.6</x:v>
      </x:c>
      <x:c r="AE20" s="499">
        <x:v>496</x:v>
      </x:c>
    </x:row>
    <x:row r="21" spans="2:31">
      <x:c r="B21" s="769"/>
      <x:c r="C21" s="769"/>
      <x:c r="D21" s="769"/>
      <x:c r="E21" s="769"/>
      <x:c r="F21" s="769"/>
      <x:c r="G21" s="769"/>
      <x:c r="H21" s="769"/>
      <x:c r="I21" s="769"/>
      <x:c r="J21" s="769"/>
      <x:c r="K21" s="769"/>
      <x:c r="L21" s="769"/>
      <x:c r="M21" s="769"/>
      <x:c r="N21" s="769"/>
      <x:c r="O21" s="769"/>
      <x:c r="P21" s="769"/>
      <x:c r="Q21" s="769"/>
      <x:c r="R21" s="769"/>
      <x:c r="S21" s="769"/>
      <x:c r="T21" s="769"/>
      <x:c r="U21" s="769"/>
      <x:c r="V21" s="769"/>
      <x:c r="W21" s="769"/>
      <x:c r="X21" s="769"/>
      <x:c r="Y21" s="769"/>
      <x:c r="Z21" s="769"/>
      <x:c r="AA21" s="769"/>
      <x:c r="AB21" s="769"/>
      <x:c r="AC21" s="744" t="s">
        <x:v>288</x:v>
      </x:c>
      <x:c r="AD21" s="744" t="s">
        <x:v>288</x:v>
      </x:c>
      <x:c r="AE21" s="769"/>
    </x:row>
    <x:row r="23" spans="2:31" ht="31.5">
      <x:c r="B23" s="26" t="s">
        <x:v>972</x:v>
      </x:c>
      <x:c r="C23" s="26"/>
    </x:row>
    <x:row r="24" spans="2:31" ht="2.4500000000000002" customHeight="1">
      <x:c r="B24" s="29"/>
      <x:c r="C24" s="29"/>
      <x:c r="D24" s="29"/>
      <x:c r="E24" s="29"/>
      <x:c r="F24" s="29"/>
    </x:row>
    <x:row r="25" spans="2:31" ht="7.9" customHeight="1"/>
    <x:row r="26" spans="2:31" ht="25.9" customHeight="1">
      <x:c r="B26" s="480" t="s">
        <x:v>267</x:v>
      </x:c>
      <x:c r="C26" s="606">
        <x:v>1</x:v>
      </x:c>
      <x:c r="D26" s="606">
        <x:v>2</x:v>
      </x:c>
      <x:c r="E26" s="606">
        <x:v>3</x:v>
      </x:c>
      <x:c r="F26" s="606">
        <x:v>4</x:v>
      </x:c>
      <x:c r="G26" s="606">
        <x:v>5</x:v>
      </x:c>
      <x:c r="H26" s="606">
        <x:v>6</x:v>
      </x:c>
      <x:c r="I26" s="606">
        <x:v>7</x:v>
      </x:c>
      <x:c r="J26" s="606">
        <x:v>8</x:v>
      </x:c>
      <x:c r="K26" s="606">
        <x:v>9</x:v>
      </x:c>
      <x:c r="L26" s="606">
        <x:v>10</x:v>
      </x:c>
      <x:c r="M26" s="606">
        <x:v>11</x:v>
      </x:c>
      <x:c r="N26" s="606">
        <x:v>12</x:v>
      </x:c>
      <x:c r="O26" s="482" t="s">
        <x:v>207</x:v>
      </x:c>
      <x:c r="P26" s="798" t="s">
        <x:v>208</x:v>
      </x:c>
    </x:row>
    <x:row r="27" spans="2:31" ht="25.9" customHeight="1">
      <x:c r="B27" s="728" t="s">
        <x:v>42</x:v>
      </x:c>
      <x:c r="C27" s="379">
        <x:f>SUM(C28:C30)</x:f>
        <x:v>41357.485125000007</x:v>
      </x:c>
      <x:c r="D27" s="379">
        <x:f t="shared" ref="D27:N27" si="10">SUM(D28:D30)</x:f>
        <x:v>41357.485125000007</x:v>
      </x:c>
      <x:c r="E27" s="379">
        <x:f t="shared" si="10"/>
        <x:v>41357.485125000007</x:v>
      </x:c>
      <x:c r="F27" s="379">
        <x:f t="shared" si="10"/>
        <x:v>41357.485125000007</x:v>
      </x:c>
      <x:c r="G27" s="379">
        <x:f t="shared" si="10"/>
        <x:v>41357.485125000007</x:v>
      </x:c>
      <x:c r="H27" s="379">
        <x:f t="shared" si="10"/>
        <x:v>41357.485125000007</x:v>
      </x:c>
      <x:c r="I27" s="379">
        <x:f t="shared" si="10"/>
        <x:v>41357.485125000007</x:v>
      </x:c>
      <x:c r="J27" s="379">
        <x:f t="shared" si="10"/>
        <x:v>41357.485125000007</x:v>
      </x:c>
      <x:c r="K27" s="379">
        <x:f t="shared" si="10"/>
        <x:v>41357.485125000007</x:v>
      </x:c>
      <x:c r="L27" s="379">
        <x:f t="shared" si="10"/>
        <x:v>41357.485125000007</x:v>
      </x:c>
      <x:c r="M27" s="379">
        <x:f t="shared" si="10"/>
        <x:v>41357.485125000007</x:v>
      </x:c>
      <x:c r="N27" s="379">
        <x:f t="shared" si="10"/>
        <x:v>41357.485125000007</x:v>
      </x:c>
      <x:c r="O27" s="698">
        <x:f>SUM(C27:N27)</x:f>
        <x:v>496289.82150000008</x:v>
      </x:c>
      <x:c r="P27" s="420" t="s">
        <x:v>969</x:v>
      </x:c>
    </x:row>
    <x:row r="28" spans="2:31" ht="25.9" customHeight="1">
      <x:c r="B28" s="707" t="s">
        <x:v>43</x:v>
      </x:c>
      <x:c r="C28" s="379">
        <x:v>6790.5596250000008</x:v>
      </x:c>
      <x:c r="D28" s="379">
        <x:v>6790.5596250000008</x:v>
      </x:c>
      <x:c r="E28" s="379">
        <x:v>6790.5596250000008</x:v>
      </x:c>
      <x:c r="F28" s="379">
        <x:v>6790.5596250000008</x:v>
      </x:c>
      <x:c r="G28" s="379">
        <x:v>6790.5596250000008</x:v>
      </x:c>
      <x:c r="H28" s="379">
        <x:v>6790.5596250000008</x:v>
      </x:c>
      <x:c r="I28" s="379">
        <x:v>6790.5596250000008</x:v>
      </x:c>
      <x:c r="J28" s="379">
        <x:v>6790.5596250000008</x:v>
      </x:c>
      <x:c r="K28" s="379">
        <x:v>6790.5596250000008</x:v>
      </x:c>
      <x:c r="L28" s="379">
        <x:v>6790.5596250000008</x:v>
      </x:c>
      <x:c r="M28" s="379">
        <x:v>6790.5596250000008</x:v>
      </x:c>
      <x:c r="N28" s="379">
        <x:v>6790.5596250000008</x:v>
      </x:c>
      <x:c r="O28" s="698">
        <x:f t="shared" ref="O28:O30" si="11">SUM(C28:N28)</x:f>
        <x:v>81486.715499999991</x:v>
      </x:c>
      <x:c r="P28" s="493" t="s">
        <x:v>968</x:v>
      </x:c>
    </x:row>
    <x:row r="29" spans="2:31" ht="25.9" customHeight="1">
      <x:c r="B29" s="707" t="s">
        <x:v>44</x:v>
      </x:c>
      <x:c r="C29" s="379">
        <x:v>3457.4613750000003</x:v>
      </x:c>
      <x:c r="D29" s="379">
        <x:v>3457.4613750000003</x:v>
      </x:c>
      <x:c r="E29" s="379">
        <x:v>3457.4613750000003</x:v>
      </x:c>
      <x:c r="F29" s="379">
        <x:v>3457.4613750000003</x:v>
      </x:c>
      <x:c r="G29" s="379">
        <x:v>3457.4613750000003</x:v>
      </x:c>
      <x:c r="H29" s="379">
        <x:v>3457.4613750000003</x:v>
      </x:c>
      <x:c r="I29" s="379">
        <x:v>3457.4613750000003</x:v>
      </x:c>
      <x:c r="J29" s="379">
        <x:v>3457.4613750000003</x:v>
      </x:c>
      <x:c r="K29" s="379">
        <x:v>3457.4613750000003</x:v>
      </x:c>
      <x:c r="L29" s="379">
        <x:v>3457.4613750000003</x:v>
      </x:c>
      <x:c r="M29" s="379">
        <x:v>3457.4613750000003</x:v>
      </x:c>
      <x:c r="N29" s="379">
        <x:v>3457.4613750000003</x:v>
      </x:c>
      <x:c r="O29" s="698">
        <x:f t="shared" si="11"/>
        <x:v>41489.536499999995</x:v>
      </x:c>
      <x:c r="P29" s="493" t="s">
        <x:v>970</x:v>
      </x:c>
    </x:row>
    <x:row r="30" spans="2:31" ht="25.9" customHeight="1">
      <x:c r="B30" s="707" t="s">
        <x:v>967</x:v>
      </x:c>
      <x:c r="C30" s="379">
        <x:v>31109.464125000002</x:v>
      </x:c>
      <x:c r="D30" s="379">
        <x:v>31109.464125000002</x:v>
      </x:c>
      <x:c r="E30" s="379">
        <x:v>31109.464125000002</x:v>
      </x:c>
      <x:c r="F30" s="379">
        <x:v>31109.464125000002</x:v>
      </x:c>
      <x:c r="G30" s="379">
        <x:v>31109.464125000002</x:v>
      </x:c>
      <x:c r="H30" s="379">
        <x:v>31109.464125000002</x:v>
      </x:c>
      <x:c r="I30" s="379">
        <x:v>31109.464125000002</x:v>
      </x:c>
      <x:c r="J30" s="379">
        <x:v>31109.464125000002</x:v>
      </x:c>
      <x:c r="K30" s="379">
        <x:v>31109.464125000002</x:v>
      </x:c>
      <x:c r="L30" s="379">
        <x:v>31109.464125000002</x:v>
      </x:c>
      <x:c r="M30" s="379">
        <x:v>31109.464125000002</x:v>
      </x:c>
      <x:c r="N30" s="379">
        <x:v>31109.464125000002</x:v>
      </x:c>
      <x:c r="O30" s="698">
        <x:f t="shared" si="11"/>
        <x:v>373313.56950000004</x:v>
      </x:c>
      <x:c r="P30" s="493" t="s">
        <x:v>971</x:v>
      </x:c>
    </x:row>
  </x:sheetData>
  <x:mergeCells count="2">
    <x:mergeCell ref="R19:R20"/>
    <x:mergeCell ref="R17:R18"/>
  </x:mergeCells>
  <x:phoneticPr fontId="3" type="noConversion"/>
  <x:pageMargins left="0.7" right="0.7" top="0.75" bottom="0.75" header="0.3" footer="0.3"/>
</x:worksheet>
</file>

<file path=xl/worksheets/sheet1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1EF29E3-4985-4CEF-A045-178636E92A36}" mc:Ignorable="x14ac xr xr2 xr3">
  <x:sheetPr codeName="Sheet13"/>
  <x:dimension ref="B1:U42"/>
  <x:sheetViews>
    <x:sheetView zoomScale="70" zoomScaleNormal="70" workbookViewId="0">
      <x:selection activeCell="L12" sqref="L12"/>
    </x:sheetView>
  </x:sheetViews>
  <x:sheetFormatPr defaultColWidth="8.75" defaultRowHeight="16.5"/>
  <x:cols>
    <x:col min="1" max="1" width="2.75" style="462" customWidth="1"/>
    <x:col min="2" max="2" width="8.25" style="462" customWidth="1"/>
    <x:col min="3" max="3" width="20.5" style="462" customWidth="1"/>
    <x:col min="4" max="8" width="13.125" style="462" bestFit="1" customWidth="1"/>
    <x:col min="9" max="14" width="13.75" style="462" bestFit="1" customWidth="1"/>
    <x:col min="15" max="15" width="16.75" style="462" customWidth="1"/>
    <x:col min="16" max="16" width="15.75" style="462" customWidth="1"/>
    <x:col min="17" max="17" width="16.25" style="462" bestFit="1" customWidth="1"/>
    <x:col min="18" max="18" width="27.125" style="462" bestFit="1" customWidth="1"/>
    <x:col min="19" max="16384" width="8.75" style="462"/>
  </x:cols>
  <x:sheetData>
    <x:row r="1" spans="2:21" ht="31.5">
      <x:c r="B1" s="390" t="s">
        <x:v>586</x:v>
      </x:c>
    </x:row>
    <x:row r="3" spans="2:21" ht="25.9" customHeight="1">
      <x:c r="B3" s="1392">
        <x:v>2025</x:v>
      </x:c>
      <x:c r="C3" s="1393"/>
      <x:c r="D3" s="554" t="s">
        <x:v>1257</x:v>
      </x:c>
      <x:c r="E3" s="554" t="s">
        <x:v>169</x:v>
      </x:c>
      <x:c r="F3" s="554" t="s">
        <x:v>170</x:v>
      </x:c>
      <x:c r="G3" s="554" t="s">
        <x:v>171</x:v>
      </x:c>
      <x:c r="H3" s="554" t="s">
        <x:v>172</x:v>
      </x:c>
      <x:c r="I3" s="554" t="s">
        <x:v>173</x:v>
      </x:c>
      <x:c r="J3" s="554" t="s">
        <x:v>174</x:v>
      </x:c>
      <x:c r="K3" s="554" t="s">
        <x:v>175</x:v>
      </x:c>
      <x:c r="L3" s="554" t="s">
        <x:v>176</x:v>
      </x:c>
      <x:c r="M3" s="554" t="s">
        <x:v>177</x:v>
      </x:c>
      <x:c r="N3" s="554" t="s">
        <x:v>178</x:v>
      </x:c>
      <x:c r="O3" s="554" t="s">
        <x:v>179</x:v>
      </x:c>
      <x:c r="P3" s="554" t="s">
        <x:v>180</x:v>
      </x:c>
      <x:c r="Q3" s="554" t="s">
        <x:v>181</x:v>
      </x:c>
      <x:c r="R3" s="554" t="s">
        <x:v>208</x:v>
      </x:c>
      <x:c r="U3" s="24" t="s">
        <x:v>182</x:v>
      </x:c>
    </x:row>
    <x:row r="4" spans="2:21" ht="25.15" customHeight="1">
      <x:c r="B4" s="1394" t="s">
        <x:v>183</x:v>
      </x:c>
      <x:c r="C4" s="1395"/>
      <x:c r="D4" s="440" t="s">
        <x:v>184</x:v>
      </x:c>
      <x:c r="E4" s="651">
        <x:v>11500</x:v>
      </x:c>
      <x:c r="F4" s="651">
        <x:v>11500</x:v>
      </x:c>
      <x:c r="G4" s="651">
        <x:v>11500</x:v>
      </x:c>
      <x:c r="H4" s="651">
        <x:v>11500</x:v>
      </x:c>
      <x:c r="I4" s="651">
        <x:v>11500</x:v>
      </x:c>
      <x:c r="J4" s="651">
        <x:v>11500</x:v>
      </x:c>
      <x:c r="K4" s="651">
        <x:v>11500</x:v>
      </x:c>
      <x:c r="L4" s="651">
        <x:v>11500</x:v>
      </x:c>
      <x:c r="M4" s="651">
        <x:v>11500</x:v>
      </x:c>
      <x:c r="N4" s="651">
        <x:v>11500</x:v>
      </x:c>
      <x:c r="O4" s="651">
        <x:v>11500</x:v>
      </x:c>
      <x:c r="P4" s="651">
        <x:v>11500</x:v>
      </x:c>
      <x:c r="Q4" s="640">
        <x:f>SUM(E4:P4)</x:f>
        <x:v>138000</x:v>
      </x:c>
      <x:c r="R4" s="786"/>
    </x:row>
    <x:row r="5" spans="2:21" ht="25.15" customHeight="1">
      <x:c r="B5" s="1396"/>
      <x:c r="C5" s="1397"/>
      <x:c r="D5" s="554" t="s">
        <x:v>185</x:v>
      </x:c>
      <x:c r="E5" s="384">
        <x:f>E4*43</x:f>
        <x:v>494500</x:v>
      </x:c>
      <x:c r="F5" s="384">
        <x:f t="shared" ref="F5:P5" si="0">F4*43</x:f>
        <x:v>494500</x:v>
      </x:c>
      <x:c r="G5" s="384">
        <x:f t="shared" si="0"/>
        <x:v>494500</x:v>
      </x:c>
      <x:c r="H5" s="384">
        <x:f t="shared" si="0"/>
        <x:v>494500</x:v>
      </x:c>
      <x:c r="I5" s="384">
        <x:f t="shared" si="0"/>
        <x:v>494500</x:v>
      </x:c>
      <x:c r="J5" s="384">
        <x:f t="shared" si="0"/>
        <x:v>494500</x:v>
      </x:c>
      <x:c r="K5" s="384">
        <x:f t="shared" si="0"/>
        <x:v>494500</x:v>
      </x:c>
      <x:c r="L5" s="384">
        <x:f t="shared" si="0"/>
        <x:v>494500</x:v>
      </x:c>
      <x:c r="M5" s="384">
        <x:f t="shared" si="0"/>
        <x:v>494500</x:v>
      </x:c>
      <x:c r="N5" s="384">
        <x:f t="shared" si="0"/>
        <x:v>494500</x:v>
      </x:c>
      <x:c r="O5" s="384">
        <x:f t="shared" si="0"/>
        <x:v>494500</x:v>
      </x:c>
      <x:c r="P5" s="384">
        <x:f t="shared" si="0"/>
        <x:v>494500</x:v>
      </x:c>
      <x:c r="Q5" s="801">
        <x:f>SUM(E5:P5)</x:f>
        <x:v>5934000</x:v>
      </x:c>
      <x:c r="R5" s="786"/>
    </x:row>
    <x:row r="6" spans="2:21" ht="40.15" customHeight="1">
      <x:c r="B6" s="1398" t="s">
        <x:v>871</x:v>
      </x:c>
      <x:c r="C6" s="1399"/>
      <x:c r="D6" s="554" t="s">
        <x:v>185</x:v>
      </x:c>
      <x:c r="E6" s="384">
        <x:f t="shared" ref="E6:P6" si="1">11758*1.3</x:f>
        <x:v>15285.4</x:v>
      </x:c>
      <x:c r="F6" s="384">
        <x:f t="shared" si="1"/>
        <x:v>15285.4</x:v>
      </x:c>
      <x:c r="G6" s="384">
        <x:f t="shared" si="1"/>
        <x:v>15285.4</x:v>
      </x:c>
      <x:c r="H6" s="384">
        <x:f t="shared" si="1"/>
        <x:v>15285.4</x:v>
      </x:c>
      <x:c r="I6" s="384">
        <x:f t="shared" si="1"/>
        <x:v>15285.4</x:v>
      </x:c>
      <x:c r="J6" s="384">
        <x:f t="shared" si="1"/>
        <x:v>15285.4</x:v>
      </x:c>
      <x:c r="K6" s="384">
        <x:f t="shared" si="1"/>
        <x:v>15285.4</x:v>
      </x:c>
      <x:c r="L6" s="384">
        <x:f t="shared" si="1"/>
        <x:v>15285.4</x:v>
      </x:c>
      <x:c r="M6" s="384">
        <x:f t="shared" si="1"/>
        <x:v>15285.4</x:v>
      </x:c>
      <x:c r="N6" s="384">
        <x:f t="shared" si="1"/>
        <x:v>15285.4</x:v>
      </x:c>
      <x:c r="O6" s="384">
        <x:f t="shared" si="1"/>
        <x:v>15285.4</x:v>
      </x:c>
      <x:c r="P6" s="384">
        <x:f t="shared" si="1"/>
        <x:v>15285.4</x:v>
      </x:c>
      <x:c r="Q6" s="801">
        <x:f>SUM(E6:P6)</x:f>
        <x:v>183424.79999999996</x:v>
      </x:c>
      <x:c r="R6" s="163" t="s">
        <x:v>536</x:v>
      </x:c>
    </x:row>
    <x:row r="7" spans="2:21" ht="40.15" customHeight="1">
      <x:c r="B7" s="1398" t="s">
        <x:v>587</x:v>
      </x:c>
      <x:c r="C7" s="1399"/>
      <x:c r="D7" s="554" t="s">
        <x:v>185</x:v>
      </x:c>
      <x:c r="E7" s="384">
        <x:f t="shared" ref="E7:P7" si="2">5879*1.3</x:f>
        <x:v>7642.7</x:v>
      </x:c>
      <x:c r="F7" s="384">
        <x:f t="shared" si="2"/>
        <x:v>7642.7</x:v>
      </x:c>
      <x:c r="G7" s="384">
        <x:f t="shared" si="2"/>
        <x:v>7642.7</x:v>
      </x:c>
      <x:c r="H7" s="384">
        <x:f t="shared" si="2"/>
        <x:v>7642.7</x:v>
      </x:c>
      <x:c r="I7" s="384">
        <x:f t="shared" si="2"/>
        <x:v>7642.7</x:v>
      </x:c>
      <x:c r="J7" s="384">
        <x:f t="shared" si="2"/>
        <x:v>7642.7</x:v>
      </x:c>
      <x:c r="K7" s="384">
        <x:f t="shared" si="2"/>
        <x:v>7642.7</x:v>
      </x:c>
      <x:c r="L7" s="384">
        <x:f t="shared" si="2"/>
        <x:v>7642.7</x:v>
      </x:c>
      <x:c r="M7" s="384">
        <x:f t="shared" si="2"/>
        <x:v>7642.7</x:v>
      </x:c>
      <x:c r="N7" s="384">
        <x:f t="shared" si="2"/>
        <x:v>7642.7</x:v>
      </x:c>
      <x:c r="O7" s="384">
        <x:f t="shared" si="2"/>
        <x:v>7642.7</x:v>
      </x:c>
      <x:c r="P7" s="384">
        <x:f t="shared" si="2"/>
        <x:v>7642.7</x:v>
      </x:c>
      <x:c r="Q7" s="801">
        <x:f>SUM(E7:P7)</x:f>
        <x:v>91712.39999999998</x:v>
      </x:c>
      <x:c r="R7" s="163" t="s">
        <x:v>537</x:v>
      </x:c>
    </x:row>
    <x:row r="8" spans="2:21">
      <x:c r="B8" s="382"/>
      <x:c r="C8" s="382"/>
      <x:c r="D8" s="382"/>
      <x:c r="E8" s="382"/>
      <x:c r="F8" s="382"/>
      <x:c r="G8" s="382"/>
      <x:c r="H8" s="729"/>
      <x:c r="I8" s="744"/>
      <x:c r="J8" s="744"/>
      <x:c r="K8" s="744"/>
      <x:c r="L8" s="744"/>
      <x:c r="M8" s="744"/>
      <x:c r="N8" s="744"/>
      <x:c r="O8" s="811"/>
      <x:c r="P8" s="382"/>
      <x:c r="Q8" s="382"/>
      <x:c r="R8" s="382"/>
    </x:row>
    <x:row r="9" spans="2:21" ht="31.5">
      <x:c r="B9" s="390" t="s">
        <x:v>1189</x:v>
      </x:c>
      <x:c r="C9" s="390"/>
      <x:c r="D9" s="390"/>
      <x:c r="E9" s="390"/>
    </x:row>
    <x:row r="10" spans="2:21" ht="2.4500000000000002" customHeight="1">
      <x:c r="B10" s="714"/>
      <x:c r="C10" s="714"/>
      <x:c r="D10" s="714"/>
      <x:c r="E10" s="714"/>
      <x:c r="F10" s="714"/>
      <x:c r="G10" s="714"/>
      <x:c r="H10" s="714"/>
    </x:row>
    <x:row r="11" spans="2:21" ht="7.9" customHeight="1"/>
    <x:row r="12" spans="2:21" s="521" customFormat="1" ht="25.15" customHeight="1">
      <x:c r="B12" s="1400"/>
      <x:c r="C12" s="1400"/>
      <x:c r="D12" s="754"/>
      <x:c r="E12" s="648" t="s">
        <x:v>169</x:v>
      </x:c>
      <x:c r="F12" s="648" t="s">
        <x:v>170</x:v>
      </x:c>
      <x:c r="G12" s="648" t="s">
        <x:v>171</x:v>
      </x:c>
      <x:c r="H12" s="648" t="s">
        <x:v>172</x:v>
      </x:c>
      <x:c r="I12" s="648" t="s">
        <x:v>173</x:v>
      </x:c>
      <x:c r="J12" s="648" t="s">
        <x:v>174</x:v>
      </x:c>
      <x:c r="K12" s="648" t="s">
        <x:v>175</x:v>
      </x:c>
      <x:c r="L12" s="648" t="s">
        <x:v>176</x:v>
      </x:c>
      <x:c r="M12" s="648" t="s">
        <x:v>177</x:v>
      </x:c>
      <x:c r="N12" s="648" t="s">
        <x:v>178</x:v>
      </x:c>
      <x:c r="O12" s="648" t="s">
        <x:v>179</x:v>
      </x:c>
      <x:c r="P12" s="648" t="s">
        <x:v>180</x:v>
      </x:c>
      <x:c r="Q12" s="417" t="s">
        <x:v>524</x:v>
      </x:c>
      <x:c r="R12" s="554" t="s">
        <x:v>208</x:v>
      </x:c>
    </x:row>
    <x:row r="13" spans="2:21" s="521" customFormat="1" ht="25.15" customHeight="1">
      <x:c r="B13" s="1401" t="s">
        <x:v>877</x:v>
      </x:c>
      <x:c r="C13" s="1401"/>
      <x:c r="D13" s="403" t="s">
        <x:v>1259</x:v>
      </x:c>
      <x:c r="E13" s="705">
        <x:v>1225.09728</x:v>
      </x:c>
      <x:c r="F13" s="705">
        <x:v>1392.1560000000002</x:v>
      </x:c>
      <x:c r="G13" s="705">
        <x:v>1605.6199200000001</x:v>
      </x:c>
      <x:c r="H13" s="705">
        <x:v>993.07128000000012</x:v>
      </x:c>
      <x:c r="I13" s="705">
        <x:v>1382.8749600000001</x:v>
      </x:c>
      <x:c r="J13" s="705">
        <x:v>1726.2734400000002</x:v>
      </x:c>
      <x:c r="K13" s="705">
        <x:v>1058.0385600000002</x:v>
      </x:c>
      <x:c r="L13" s="705">
        <x:v>1466.4043200000001</x:v>
      </x:c>
      <x:c r="M13" s="705">
        <x:v>1559.2147200000002</x:v>
      </x:c>
      <x:c r="N13" s="705">
        <x:v>1559.2147200000002</x:v>
      </x:c>
      <x:c r="O13" s="705">
        <x:v>1392.1560000000002</x:v>
      </x:c>
      <x:c r="P13" s="705">
        <x:v>1392.1560000000002</x:v>
      </x:c>
      <x:c r="Q13" s="656">
        <x:f>SUM(E13:P13)</x:f>
        <x:v>16752.2772</x:v>
      </x:c>
      <x:c r="R13" s="491"/>
    </x:row>
    <x:row r="14" spans="2:21" s="521" customFormat="1" ht="25.15" customHeight="1">
      <x:c r="B14" s="1401"/>
      <x:c r="C14" s="1401"/>
      <x:c r="D14" s="403" t="s">
        <x:v>185</x:v>
      </x:c>
      <x:c r="E14" s="519">
        <x:f>E13*'Exchange Rate'!$D$14</x:f>
        <x:v>62479.961279999996</x:v>
      </x:c>
      <x:c r="F14" s="519">
        <x:f>F13*'Exchange Rate'!$D$14</x:f>
        <x:v>70999.956000000006</x:v>
      </x:c>
      <x:c r="G14" s="519">
        <x:f>G13*'Exchange Rate'!$D$14</x:f>
        <x:v>81886.615920000011</x:v>
      </x:c>
      <x:c r="H14" s="519">
        <x:f>H13*'Exchange Rate'!$D$14</x:f>
        <x:v>50646.635280000002</x:v>
      </x:c>
      <x:c r="I14" s="519">
        <x:f>I13*'Exchange Rate'!$D$14</x:f>
        <x:v>70526.622960000008</x:v>
      </x:c>
      <x:c r="J14" s="519">
        <x:f>J13*'Exchange Rate'!$D$14</x:f>
        <x:v>88039.94544000001</x:v>
      </x:c>
      <x:c r="K14" s="519">
        <x:f>K13*'Exchange Rate'!$D$14</x:f>
        <x:v>53959.966560000008</x:v>
      </x:c>
      <x:c r="L14" s="519">
        <x:f>L13*'Exchange Rate'!$D$14</x:f>
        <x:v>74786.620320000002</x:v>
      </x:c>
      <x:c r="M14" s="519">
        <x:f>M13*'Exchange Rate'!$D$14</x:f>
        <x:v>79519.950720000008</x:v>
      </x:c>
      <x:c r="N14" s="519">
        <x:f>N13*'Exchange Rate'!$D$14</x:f>
        <x:v>79519.950720000008</x:v>
      </x:c>
      <x:c r="O14" s="519">
        <x:f>O13*'Exchange Rate'!$D$14</x:f>
        <x:v>70999.956000000006</x:v>
      </x:c>
      <x:c r="P14" s="519">
        <x:f>P13*'Exchange Rate'!$D$14</x:f>
        <x:v>70999.956000000006</x:v>
      </x:c>
      <x:c r="Q14" s="716">
        <x:f>SUM(E14:P14)</x:f>
        <x:v>854366.1372</x:v>
      </x:c>
      <x:c r="R14" s="491"/>
    </x:row>
    <x:row r="15" spans="2:21" s="521" customFormat="1" ht="25.15" customHeight="1">
      <x:c r="B15" s="1401" t="s">
        <x:v>767</x:v>
      </x:c>
      <x:c r="C15" s="1401"/>
      <x:c r="D15" s="403" t="s">
        <x:v>1259</x:v>
      </x:c>
      <x:c r="E15" s="705">
        <x:v>382.69439999999997</x:v>
      </x:c>
      <x:c r="F15" s="705">
        <x:v>434.88</x:v>
      </x:c>
      <x:c r="G15" s="705">
        <x:v>501.5616</x:v>
      </x:c>
      <x:c r="H15" s="705">
        <x:v>310.21440000000001</x:v>
      </x:c>
      <x:c r="I15" s="705">
        <x:v>431.98079999999999</x:v>
      </x:c>
      <x:c r="J15" s="705">
        <x:v>539.25120000000004</x:v>
      </x:c>
      <x:c r="K15" s="705">
        <x:v>330.50880000000001</x:v>
      </x:c>
      <x:c r="L15" s="705">
        <x:v>458.0736</x:v>
      </x:c>
      <x:c r="M15" s="705">
        <x:v>487.06560000000002</x:v>
      </x:c>
      <x:c r="N15" s="705">
        <x:v>487.06560000000002</x:v>
      </x:c>
      <x:c r="O15" s="705">
        <x:v>434.88</x:v>
      </x:c>
      <x:c r="P15" s="705">
        <x:v>434.88</x:v>
      </x:c>
      <x:c r="Q15" s="656">
        <x:f>SUM(E15:P15)</x:f>
        <x:v>5233.0560000000005</x:v>
      </x:c>
      <x:c r="R15" s="715"/>
    </x:row>
    <x:row r="16" spans="2:21" s="521" customFormat="1" ht="25.15" customHeight="1">
      <x:c r="B16" s="1401"/>
      <x:c r="C16" s="1401"/>
      <x:c r="D16" s="403" t="s">
        <x:v>185</x:v>
      </x:c>
      <x:c r="E16" s="519">
        <x:f>E15*'Exchange Rate'!$D$14</x:f>
        <x:v>19517.414399999998</x:v>
      </x:c>
      <x:c r="F16" s="519">
        <x:f>F15*'Exchange Rate'!$D$14</x:f>
        <x:v>22178.880000000001</x:v>
      </x:c>
      <x:c r="G16" s="519">
        <x:f>G15*'Exchange Rate'!$D$14</x:f>
        <x:v>25579.641599999999</x:v>
      </x:c>
      <x:c r="H16" s="519">
        <x:f>H15*'Exchange Rate'!$D$14</x:f>
        <x:v>15820.9344</x:v>
      </x:c>
      <x:c r="I16" s="519">
        <x:f>I15*'Exchange Rate'!$D$14</x:f>
        <x:v>22031.020799999998</x:v>
      </x:c>
      <x:c r="J16" s="519">
        <x:f>J15*'Exchange Rate'!$D$14</x:f>
        <x:v>27501.811200000004</x:v>
      </x:c>
      <x:c r="K16" s="519">
        <x:f>K15*'Exchange Rate'!$D$14</x:f>
        <x:v>16855.948800000002</x:v>
      </x:c>
      <x:c r="L16" s="519">
        <x:f>L15*'Exchange Rate'!$D$14</x:f>
        <x:v>23361.7536</x:v>
      </x:c>
      <x:c r="M16" s="519">
        <x:f>M15*'Exchange Rate'!$D$14</x:f>
        <x:v>24840.345600000001</x:v>
      </x:c>
      <x:c r="N16" s="519">
        <x:f>N15*'Exchange Rate'!$D$14</x:f>
        <x:v>24840.345600000001</x:v>
      </x:c>
      <x:c r="O16" s="519">
        <x:f>O15*'Exchange Rate'!$D$14</x:f>
        <x:v>22178.880000000001</x:v>
      </x:c>
      <x:c r="P16" s="519">
        <x:f>P15*'Exchange Rate'!$D$14</x:f>
        <x:v>22178.880000000001</x:v>
      </x:c>
      <x:c r="Q16" s="716">
        <x:f>SUM(E16:P16)</x:f>
        <x:v>266885.85600000003</x:v>
      </x:c>
      <x:c r="R16" s="715"/>
    </x:row>
    <x:row r="17" spans="2:18" s="541" customFormat="1" ht="25.15" customHeight="1">
      <x:c r="B17" s="1401" t="s">
        <x:v>1019</x:v>
      </x:c>
      <x:c r="C17" s="1401"/>
      <x:c r="D17" s="403" t="s">
        <x:v>185</x:v>
      </x:c>
      <x:c r="E17" s="519">
        <x:f>$Q$27/12</x:f>
        <x:v>110088.27916666667</x:v>
      </x:c>
      <x:c r="F17" s="519">
        <x:f t="shared" ref="F17:O17" si="3">$Q$27/12</x:f>
        <x:v>110088.27916666667</x:v>
      </x:c>
      <x:c r="G17" s="519">
        <x:f t="shared" si="3"/>
        <x:v>110088.27916666667</x:v>
      </x:c>
      <x:c r="H17" s="519">
        <x:f t="shared" si="3"/>
        <x:v>110088.27916666667</x:v>
      </x:c>
      <x:c r="I17" s="519">
        <x:f t="shared" si="3"/>
        <x:v>110088.27916666667</x:v>
      </x:c>
      <x:c r="J17" s="519">
        <x:f t="shared" si="3"/>
        <x:v>110088.27916666667</x:v>
      </x:c>
      <x:c r="K17" s="519">
        <x:f t="shared" si="3"/>
        <x:v>110088.27916666667</x:v>
      </x:c>
      <x:c r="L17" s="519">
        <x:f t="shared" si="3"/>
        <x:v>110088.27916666667</x:v>
      </x:c>
      <x:c r="M17" s="519">
        <x:f t="shared" si="3"/>
        <x:v>110088.27916666667</x:v>
      </x:c>
      <x:c r="N17" s="519">
        <x:f t="shared" si="3"/>
        <x:v>110088.27916666667</x:v>
      </x:c>
      <x:c r="O17" s="519">
        <x:f t="shared" si="3"/>
        <x:v>110088.27916666667</x:v>
      </x:c>
      <x:c r="P17" s="519">
        <x:f>$Q$27/12</x:f>
        <x:v>110088.27916666667</x:v>
      </x:c>
      <x:c r="Q17" s="716">
        <x:f>SUM(E17:P17)</x:f>
        <x:v>1321059.3500000001</x:v>
      </x:c>
      <x:c r="R17" s="771"/>
    </x:row>
    <x:row r="19" spans="2:18" ht="31.5">
      <x:c r="B19" s="390" t="s">
        <x:v>1190</x:v>
      </x:c>
      <x:c r="C19" s="390"/>
      <x:c r="D19" s="390"/>
      <x:c r="E19" s="390"/>
    </x:row>
    <x:row r="20" spans="2:18" ht="2.4500000000000002" customHeight="1">
      <x:c r="B20" s="714"/>
      <x:c r="C20" s="714"/>
      <x:c r="D20" s="714"/>
      <x:c r="E20" s="714"/>
      <x:c r="F20" s="714"/>
      <x:c r="G20" s="714"/>
      <x:c r="H20" s="714"/>
    </x:row>
    <x:row r="21" spans="2:18" ht="7.9" customHeight="1"/>
    <x:row r="22" spans="2:18" s="521" customFormat="1" ht="25.15" customHeight="1">
      <x:c r="B22" s="1400"/>
      <x:c r="C22" s="1400"/>
      <x:c r="D22" s="754"/>
      <x:c r="E22" s="648" t="s">
        <x:v>169</x:v>
      </x:c>
      <x:c r="F22" s="648" t="s">
        <x:v>170</x:v>
      </x:c>
      <x:c r="G22" s="648" t="s">
        <x:v>171</x:v>
      </x:c>
      <x:c r="H22" s="648" t="s">
        <x:v>172</x:v>
      </x:c>
      <x:c r="I22" s="648" t="s">
        <x:v>173</x:v>
      </x:c>
      <x:c r="J22" s="648" t="s">
        <x:v>174</x:v>
      </x:c>
      <x:c r="K22" s="648" t="s">
        <x:v>175</x:v>
      </x:c>
      <x:c r="L22" s="648" t="s">
        <x:v>176</x:v>
      </x:c>
      <x:c r="M22" s="648" t="s">
        <x:v>177</x:v>
      </x:c>
      <x:c r="N22" s="648" t="s">
        <x:v>178</x:v>
      </x:c>
      <x:c r="O22" s="648" t="s">
        <x:v>179</x:v>
      </x:c>
      <x:c r="P22" s="648" t="s">
        <x:v>180</x:v>
      </x:c>
      <x:c r="Q22" s="417" t="s">
        <x:v>524</x:v>
      </x:c>
      <x:c r="R22" s="554" t="s">
        <x:v>208</x:v>
      </x:c>
    </x:row>
    <x:row r="23" spans="2:18" s="521" customFormat="1" ht="25.15" customHeight="1">
      <x:c r="B23" s="1401" t="s">
        <x:v>877</x:v>
      </x:c>
      <x:c r="C23" s="1401"/>
      <x:c r="D23" s="403" t="s">
        <x:v>1259</x:v>
      </x:c>
      <x:c r="E23" s="705">
        <x:f>E13*1.3</x:f>
        <x:v>1592.6264639999999</x:v>
      </x:c>
      <x:c r="F23" s="705">
        <x:f t="shared" ref="F23:P23" si="4">F13*1.3</x:f>
        <x:v>1809.8028000000004</x:v>
      </x:c>
      <x:c r="G23" s="705">
        <x:f t="shared" si="4"/>
        <x:v>2087.3058960000003</x:v>
      </x:c>
      <x:c r="H23" s="705">
        <x:f t="shared" si="4"/>
        <x:v>1290.9926640000001</x:v>
      </x:c>
      <x:c r="I23" s="705">
        <x:f t="shared" si="4"/>
        <x:v>1797.7374480000001</x:v>
      </x:c>
      <x:c r="J23" s="705">
        <x:f t="shared" si="4"/>
        <x:v>2244.1554720000004</x:v>
      </x:c>
      <x:c r="K23" s="705">
        <x:f t="shared" si="4"/>
        <x:v>1375.4501280000004</x:v>
      </x:c>
      <x:c r="L23" s="705">
        <x:f t="shared" si="4"/>
        <x:v>1906.3256160000001</x:v>
      </x:c>
      <x:c r="M23" s="705">
        <x:f t="shared" si="4"/>
        <x:v>2026.9791360000004</x:v>
      </x:c>
      <x:c r="N23" s="705">
        <x:f t="shared" si="4"/>
        <x:v>2026.9791360000004</x:v>
      </x:c>
      <x:c r="O23" s="705">
        <x:f t="shared" si="4"/>
        <x:v>1809.8028000000004</x:v>
      </x:c>
      <x:c r="P23" s="705">
        <x:f t="shared" si="4"/>
        <x:v>1809.8028000000004</x:v>
      </x:c>
      <x:c r="Q23" s="656">
        <x:f>SUM(E23:P23)</x:f>
        <x:v>21777.960360000005</x:v>
      </x:c>
      <x:c r="R23" s="1402" t="s">
        <x:v>1191</x:v>
      </x:c>
    </x:row>
    <x:row r="24" spans="2:18" s="521" customFormat="1" ht="25.15" customHeight="1">
      <x:c r="B24" s="1401"/>
      <x:c r="C24" s="1401"/>
      <x:c r="D24" s="403" t="s">
        <x:v>185</x:v>
      </x:c>
      <x:c r="E24" s="519">
        <x:f>E14*1.3</x:f>
        <x:v>81223.949664</x:v>
      </x:c>
      <x:c r="F24" s="519">
        <x:f t="shared" ref="F24:P24" si="5">F14*1.3</x:f>
        <x:v>92299.942800000004</x:v>
      </x:c>
      <x:c r="G24" s="519">
        <x:f t="shared" si="5"/>
        <x:v>106452.60069600002</x:v>
      </x:c>
      <x:c r="H24" s="519">
        <x:f t="shared" si="5"/>
        <x:v>65840.625864000001</x:v>
      </x:c>
      <x:c r="I24" s="519">
        <x:f t="shared" si="5"/>
        <x:v>91684.609848000007</x:v>
      </x:c>
      <x:c r="J24" s="519">
        <x:f t="shared" si="5"/>
        <x:v>114451.92907200001</x:v>
      </x:c>
      <x:c r="K24" s="519">
        <x:f t="shared" si="5"/>
        <x:v>70147.95652800001</x:v>
      </x:c>
      <x:c r="L24" s="519">
        <x:f t="shared" si="5"/>
        <x:v>97222.60641600001</x:v>
      </x:c>
      <x:c r="M24" s="519">
        <x:f t="shared" si="5"/>
        <x:v>103375.93593600001</x:v>
      </x:c>
      <x:c r="N24" s="519">
        <x:f t="shared" si="5"/>
        <x:v>103375.93593600001</x:v>
      </x:c>
      <x:c r="O24" s="519">
        <x:f t="shared" si="5"/>
        <x:v>92299.942800000004</x:v>
      </x:c>
      <x:c r="P24" s="519">
        <x:f t="shared" si="5"/>
        <x:v>92299.942800000004</x:v>
      </x:c>
      <x:c r="Q24" s="716">
        <x:f>SUM(E24:P24)</x:f>
        <x:v>1110675.9783599998</x:v>
      </x:c>
      <x:c r="R24" s="1403"/>
    </x:row>
    <x:row r="25" spans="2:18" s="521" customFormat="1" ht="25.15" customHeight="1">
      <x:c r="B25" s="1401" t="s">
        <x:v>767</x:v>
      </x:c>
      <x:c r="C25" s="1401"/>
      <x:c r="D25" s="403" t="s">
        <x:v>1259</x:v>
      </x:c>
      <x:c r="E25" s="705">
        <x:f>E15*1.3</x:f>
        <x:v>497.50271999999995</x:v>
      </x:c>
      <x:c r="F25" s="705">
        <x:f t="shared" ref="F25:P25" si="6">F15*1.3</x:f>
        <x:v>565.34400000000005</x:v>
      </x:c>
      <x:c r="G25" s="705">
        <x:f t="shared" si="6"/>
        <x:v>652.03008</x:v>
      </x:c>
      <x:c r="H25" s="705">
        <x:f t="shared" si="6"/>
        <x:v>403.27872000000002</x:v>
      </x:c>
      <x:c r="I25" s="705">
        <x:f t="shared" si="6"/>
        <x:v>561.57504000000006</x:v>
      </x:c>
      <x:c r="J25" s="705">
        <x:f t="shared" si="6"/>
        <x:v>701.02656000000013</x:v>
      </x:c>
      <x:c r="K25" s="705">
        <x:f t="shared" si="6"/>
        <x:v>429.66144000000003</x:v>
      </x:c>
      <x:c r="L25" s="705">
        <x:f t="shared" si="6"/>
        <x:v>595.49567999999999</x:v>
      </x:c>
      <x:c r="M25" s="705">
        <x:f t="shared" si="6"/>
        <x:v>633.18528000000003</x:v>
      </x:c>
      <x:c r="N25" s="705">
        <x:f t="shared" si="6"/>
        <x:v>633.18528000000003</x:v>
      </x:c>
      <x:c r="O25" s="705">
        <x:f t="shared" si="6"/>
        <x:v>565.34400000000005</x:v>
      </x:c>
      <x:c r="P25" s="705">
        <x:f t="shared" si="6"/>
        <x:v>565.34400000000005</x:v>
      </x:c>
      <x:c r="Q25" s="656">
        <x:f>SUM(E25:P25)</x:f>
        <x:v>6802.9727999999996</x:v>
      </x:c>
      <x:c r="R25" s="1404" t="s">
        <x:v>1260</x:v>
      </x:c>
    </x:row>
    <x:row r="26" spans="2:18" s="521" customFormat="1" ht="25.15" customHeight="1">
      <x:c r="B26" s="1401"/>
      <x:c r="C26" s="1401"/>
      <x:c r="D26" s="403" t="s">
        <x:v>185</x:v>
      </x:c>
      <x:c r="E26" s="519">
        <x:f>E16*1.3</x:f>
        <x:v>25372.638719999999</x:v>
      </x:c>
      <x:c r="F26" s="519">
        <x:f t="shared" ref="F26:P26" si="7">F16*1.3</x:f>
        <x:v>28832.544000000002</x:v>
      </x:c>
      <x:c r="G26" s="519">
        <x:f t="shared" si="7"/>
        <x:v>33253.534079999998</x:v>
      </x:c>
      <x:c r="H26" s="519">
        <x:f t="shared" si="7"/>
        <x:v>20567.21472</x:v>
      </x:c>
      <x:c r="I26" s="519">
        <x:f t="shared" si="7"/>
        <x:v>28640.32704</x:v>
      </x:c>
      <x:c r="J26" s="519">
        <x:f t="shared" si="7"/>
        <x:v>35752.354560000007</x:v>
      </x:c>
      <x:c r="K26" s="519">
        <x:f t="shared" si="7"/>
        <x:v>21912.733440000004</x:v>
      </x:c>
      <x:c r="L26" s="519">
        <x:f t="shared" si="7"/>
        <x:v>30370.27968</x:v>
      </x:c>
      <x:c r="M26" s="519">
        <x:f t="shared" si="7"/>
        <x:v>32292.449280000001</x:v>
      </x:c>
      <x:c r="N26" s="519">
        <x:f t="shared" si="7"/>
        <x:v>32292.449280000001</x:v>
      </x:c>
      <x:c r="O26" s="519">
        <x:f t="shared" si="7"/>
        <x:v>28832.544000000002</x:v>
      </x:c>
      <x:c r="P26" s="519">
        <x:f t="shared" si="7"/>
        <x:v>28832.544000000002</x:v>
      </x:c>
      <x:c r="Q26" s="716">
        <x:f>SUM(E26:P26)</x:f>
        <x:v>346951.6128</x:v>
      </x:c>
      <x:c r="R26" s="1405"/>
    </x:row>
    <x:row r="27" spans="2:18" s="541" customFormat="1" ht="25.15" customHeight="1">
      <x:c r="B27" s="1401" t="s">
        <x:v>1019</x:v>
      </x:c>
      <x:c r="C27" s="1401"/>
      <x:c r="D27" s="403" t="s">
        <x:v>185</x:v>
      </x:c>
      <x:c r="E27" s="519">
        <x:f>$Q$27/12</x:f>
        <x:v>110088.27916666667</x:v>
      </x:c>
      <x:c r="F27" s="519">
        <x:f t="shared" ref="F27:P27" si="8">$Q$27/12</x:f>
        <x:v>110088.27916666667</x:v>
      </x:c>
      <x:c r="G27" s="519">
        <x:f t="shared" si="8"/>
        <x:v>110088.27916666667</x:v>
      </x:c>
      <x:c r="H27" s="519">
        <x:f t="shared" si="8"/>
        <x:v>110088.27916666667</x:v>
      </x:c>
      <x:c r="I27" s="519">
        <x:f t="shared" si="8"/>
        <x:v>110088.27916666667</x:v>
      </x:c>
      <x:c r="J27" s="519">
        <x:f t="shared" si="8"/>
        <x:v>110088.27916666667</x:v>
      </x:c>
      <x:c r="K27" s="519">
        <x:f t="shared" si="8"/>
        <x:v>110088.27916666667</x:v>
      </x:c>
      <x:c r="L27" s="519">
        <x:f t="shared" si="8"/>
        <x:v>110088.27916666667</x:v>
      </x:c>
      <x:c r="M27" s="519">
        <x:f t="shared" si="8"/>
        <x:v>110088.27916666667</x:v>
      </x:c>
      <x:c r="N27" s="519">
        <x:f t="shared" si="8"/>
        <x:v>110088.27916666667</x:v>
      </x:c>
      <x:c r="O27" s="519">
        <x:f t="shared" si="8"/>
        <x:v>110088.27916666667</x:v>
      </x:c>
      <x:c r="P27" s="519">
        <x:f t="shared" si="8"/>
        <x:v>110088.27916666667</x:v>
      </x:c>
      <x:c r="Q27" s="716">
        <x:f>G42</x:f>
        <x:v>1321059.3500000001</x:v>
      </x:c>
      <x:c r="R27" s="425" t="s">
        <x:v>1191</x:v>
      </x:c>
    </x:row>
    <x:row r="28" spans="2:18" s="541" customFormat="1"/>
    <x:row r="29" spans="2:18" s="541" customFormat="1" ht="17.25">
      <x:c r="B29" s="230" t="s">
        <x:v>1258</x:v>
      </x:c>
    </x:row>
    <x:row r="30" spans="2:18" ht="25.15" customHeight="1">
      <x:c r="B30" s="648" t="s">
        <x:v>1002</x:v>
      </x:c>
      <x:c r="C30" s="648" t="s">
        <x:v>1003</x:v>
      </x:c>
      <x:c r="D30" s="648" t="s">
        <x:v>1004</x:v>
      </x:c>
      <x:c r="E30" s="648" t="s">
        <x:v>1005</x:v>
      </x:c>
      <x:c r="F30" s="648" t="s">
        <x:v>1006</x:v>
      </x:c>
      <x:c r="G30" s="648" t="s">
        <x:v>1007</x:v>
      </x:c>
    </x:row>
    <x:row r="31" spans="2:18" ht="25.15" customHeight="1">
      <x:c r="B31" s="648">
        <x:v>1</x:v>
      </x:c>
      <x:c r="C31" s="231">
        <x:v>770835</x:v>
      </x:c>
      <x:c r="D31" s="231" t="s">
        <x:v>1008</x:v>
      </x:c>
      <x:c r="E31" s="232">
        <x:v>250</x:v>
      </x:c>
      <x:c r="F31" s="383">
        <x:v>81.319999999999993</x:v>
      </x:c>
      <x:c r="G31" s="384">
        <x:f>(E31*F31)*1.3</x:f>
        <x:v>26429</x:v>
      </x:c>
    </x:row>
    <x:row r="32" spans="2:18" ht="25.15" customHeight="1">
      <x:c r="B32" s="648">
        <x:v>2</x:v>
      </x:c>
      <x:c r="C32" s="231">
        <x:v>742740</x:v>
      </x:c>
      <x:c r="D32" s="231" t="s">
        <x:v>1009</x:v>
      </x:c>
      <x:c r="E32" s="232">
        <x:v>250</x:v>
      </x:c>
      <x:c r="F32" s="383">
        <x:v>28.68</x:v>
      </x:c>
      <x:c r="G32" s="384">
        <x:f t="shared" ref="G32:G41" si="9">(E32*F32)*1.3</x:f>
        <x:v>9321</x:v>
      </x:c>
    </x:row>
    <x:row r="33" spans="2:7" ht="25.15" customHeight="1">
      <x:c r="B33" s="648">
        <x:v>3</x:v>
      </x:c>
      <x:c r="C33" s="231">
        <x:v>742499</x:v>
      </x:c>
      <x:c r="D33" s="231" t="s">
        <x:v>1010</x:v>
      </x:c>
      <x:c r="E33" s="232">
        <x:v>1150</x:v>
      </x:c>
      <x:c r="F33" s="383">
        <x:v>102.18</x:v>
      </x:c>
      <x:c r="G33" s="384">
        <x:f t="shared" si="9"/>
        <x:v>152759.10000000003</x:v>
      </x:c>
    </x:row>
    <x:row r="34" spans="2:7" ht="25.15" customHeight="1">
      <x:c r="B34" s="648">
        <x:v>4</x:v>
      </x:c>
      <x:c r="C34" s="231">
        <x:v>742741</x:v>
      </x:c>
      <x:c r="D34" s="231" t="s">
        <x:v>1011</x:v>
      </x:c>
      <x:c r="E34" s="232">
        <x:v>1150</x:v>
      </x:c>
      <x:c r="F34" s="383">
        <x:v>34.409999999999997</x:v>
      </x:c>
      <x:c r="G34" s="384">
        <x:f t="shared" si="9"/>
        <x:v>51442.94999999999</x:v>
      </x:c>
    </x:row>
    <x:row r="35" spans="2:7" ht="25.15" customHeight="1">
      <x:c r="B35" s="648">
        <x:v>5</x:v>
      </x:c>
      <x:c r="C35" s="231">
        <x:v>770838</x:v>
      </x:c>
      <x:c r="D35" s="231" t="s">
        <x:v>1012</x:v>
      </x:c>
      <x:c r="E35" s="232">
        <x:v>2000</x:v>
      </x:c>
      <x:c r="F35" s="383">
        <x:v>132.75</x:v>
      </x:c>
      <x:c r="G35" s="384">
        <x:f t="shared" si="9"/>
        <x:v>345150</x:v>
      </x:c>
    </x:row>
    <x:row r="36" spans="2:7" ht="25.15" customHeight="1">
      <x:c r="B36" s="648">
        <x:v>6</x:v>
      </x:c>
      <x:c r="C36" s="231">
        <x:v>742743</x:v>
      </x:c>
      <x:c r="D36" s="231" t="s">
        <x:v>1013</x:v>
      </x:c>
      <x:c r="E36" s="232">
        <x:v>2000</x:v>
      </x:c>
      <x:c r="F36" s="383">
        <x:v>51.62</x:v>
      </x:c>
      <x:c r="G36" s="384">
        <x:f t="shared" si="9"/>
        <x:v>134212</x:v>
      </x:c>
    </x:row>
    <x:row r="37" spans="2:7" ht="25.15" customHeight="1">
      <x:c r="B37" s="648">
        <x:v>7</x:v>
      </x:c>
      <x:c r="C37" s="231">
        <x:v>1836587</x:v>
      </x:c>
      <x:c r="D37" s="231" t="s">
        <x:v>1014</x:v>
      </x:c>
      <x:c r="E37" s="232">
        <x:v>10000</x:v>
      </x:c>
      <x:c r="F37" s="383">
        <x:v>34.979999999999997</x:v>
      </x:c>
      <x:c r="G37" s="384">
        <x:f t="shared" si="9"/>
        <x:v>454739.99999999994</x:v>
      </x:c>
    </x:row>
    <x:row r="38" spans="2:7" ht="25.15" customHeight="1">
      <x:c r="B38" s="648">
        <x:v>8</x:v>
      </x:c>
      <x:c r="C38" s="231">
        <x:v>771350</x:v>
      </x:c>
      <x:c r="D38" s="231" t="s">
        <x:v>1015</x:v>
      </x:c>
      <x:c r="E38" s="232">
        <x:v>8800</x:v>
      </x:c>
      <x:c r="F38" s="383">
        <x:v>1.22</x:v>
      </x:c>
      <x:c r="G38" s="384">
        <x:f t="shared" si="9"/>
        <x:v>13956.800000000001</x:v>
      </x:c>
    </x:row>
    <x:row r="39" spans="2:7" ht="25.15" customHeight="1">
      <x:c r="B39" s="648">
        <x:v>9</x:v>
      </x:c>
      <x:c r="C39" s="231">
        <x:v>742640</x:v>
      </x:c>
      <x:c r="D39" s="231" t="s">
        <x:v>1016</x:v>
      </x:c>
      <x:c r="E39" s="232">
        <x:v>5000</x:v>
      </x:c>
      <x:c r="F39" s="383">
        <x:v>2.1</x:v>
      </x:c>
      <x:c r="G39" s="384">
        <x:f t="shared" si="9"/>
        <x:v>13650</x:v>
      </x:c>
    </x:row>
    <x:row r="40" spans="2:7" ht="25.15" customHeight="1">
      <x:c r="B40" s="648">
        <x:v>10</x:v>
      </x:c>
      <x:c r="C40" s="231">
        <x:v>742647</x:v>
      </x:c>
      <x:c r="D40" s="231" t="s">
        <x:v>1017</x:v>
      </x:c>
      <x:c r="E40" s="232">
        <x:v>700</x:v>
      </x:c>
      <x:c r="F40" s="383">
        <x:v>8.61</x:v>
      </x:c>
      <x:c r="G40" s="384">
        <x:f t="shared" si="9"/>
        <x:v>7835.1</x:v>
      </x:c>
    </x:row>
    <x:row r="41" spans="2:7" ht="25.15" customHeight="1">
      <x:c r="B41" s="648">
        <x:v>11</x:v>
      </x:c>
      <x:c r="C41" s="231">
        <x:v>742630</x:v>
      </x:c>
      <x:c r="D41" s="231" t="s">
        <x:v>1018</x:v>
      </x:c>
      <x:c r="E41" s="232">
        <x:v>200</x:v>
      </x:c>
      <x:c r="F41" s="383">
        <x:v>429.09</x:v>
      </x:c>
      <x:c r="G41" s="384">
        <x:f t="shared" si="9"/>
        <x:v>111563.40000000001</x:v>
      </x:c>
    </x:row>
    <x:row r="42" spans="2:7" ht="25.15" customHeight="1">
      <x:c r="B42" s="382"/>
      <x:c r="C42" s="382"/>
      <x:c r="D42" s="648" t="s">
        <x:v>186</x:v>
      </x:c>
      <x:c r="E42" s="692">
        <x:f>SUM(E31:E41)</x:f>
        <x:v>31500</x:v>
      </x:c>
      <x:c r="F42" s="594">
        <x:f>SUM(F31:F41)</x:f>
        <x:v>906.96</x:v>
      </x:c>
      <x:c r="G42" s="595">
        <x:f>SUM(G31:G41)</x:f>
        <x:v>1321059.3500000001</x:v>
      </x:c>
    </x:row>
  </x:sheetData>
  <x:mergeCells count="14">
    <x:mergeCell ref="R23:R24"/>
    <x:mergeCell ref="R25:R26"/>
    <x:mergeCell ref="B23:C24"/>
    <x:mergeCell ref="B25:C26"/>
    <x:mergeCell ref="B27:C27"/>
    <x:mergeCell ref="B3:C3"/>
    <x:mergeCell ref="B4:C5"/>
    <x:mergeCell ref="B6:C6"/>
    <x:mergeCell ref="B7:C7"/>
    <x:mergeCell ref="B22:C22"/>
    <x:mergeCell ref="B12:C12"/>
    <x:mergeCell ref="B13:C14"/>
    <x:mergeCell ref="B15:C16"/>
    <x:mergeCell ref="B17:C17"/>
  </x:mergeCells>
  <x:phoneticPr fontId="3" type="noConversion"/>
  <x:pageMargins left="0.7" right="0.7" top="0.75" bottom="0.75" header="0.3" footer="0.3"/>
  <x:drawing r:id="rId1"/>
  <x:legacyDrawing r:id="rId2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78E0478-7C53-4E34-A790-DC2CC00884DD}" mc:Ignorable="x14ac xr xr2 xr3">
  <x:sheetPr codeName="Sheet14"/>
  <x:dimension ref="B1:V138"/>
  <x:sheetViews>
    <x:sheetView zoomScale="85" zoomScaleNormal="85" workbookViewId="0">
      <x:selection activeCell="O11" sqref="O11:O13"/>
    </x:sheetView>
  </x:sheetViews>
  <x:sheetFormatPr defaultColWidth="8.75" defaultRowHeight="21" customHeight="1"/>
  <x:cols>
    <x:col min="1" max="1" width="1.625" style="21" customWidth="1"/>
    <x:col min="2" max="2" width="10" style="21" customWidth="1"/>
    <x:col min="3" max="3" width="24.75" style="21" customWidth="1"/>
    <x:col min="4" max="7" width="12.5" style="21" customWidth="1"/>
    <x:col min="8" max="8" width="14.75" style="21" bestFit="1" customWidth="1"/>
    <x:col min="9" max="16" width="12.5" style="21" customWidth="1"/>
    <x:col min="17" max="17" width="17.375" style="21" bestFit="1" customWidth="1"/>
    <x:col min="18" max="18" width="64.875" style="21" bestFit="1" customWidth="1"/>
    <x:col min="19" max="19" width="10.75" style="21" customWidth="1"/>
    <x:col min="20" max="20" width="11.25" style="21" customWidth="1"/>
    <x:col min="21" max="16384" width="8.75" style="21"/>
  </x:cols>
  <x:sheetData>
    <x:row r="1" spans="2:22" ht="26.25">
      <x:c r="B1" s="27" t="s">
        <x:v>588</x:v>
      </x:c>
      <x:c r="C1" s="20"/>
      <x:c r="D1" s="20"/>
      <x:c r="E1" s="20"/>
      <x:c r="F1" s="20"/>
      <x:c r="G1" s="20"/>
      <x:c r="H1" s="20"/>
    </x:row>
    <x:row r="2" spans="2:22" ht="2.4500000000000002" customHeight="1">
      <x:c r="B2" s="29"/>
      <x:c r="C2" s="29"/>
      <x:c r="D2" s="29"/>
      <x:c r="E2" s="29"/>
      <x:c r="F2" s="29"/>
      <x:c r="G2" s="29"/>
      <x:c r="H2" s="29"/>
    </x:row>
    <x:row r="3" spans="2:22" ht="10.15" customHeight="1">
      <x:c r="B3" s="25"/>
      <x:c r="C3" s="25"/>
      <x:c r="D3" s="25"/>
      <x:c r="E3" s="25"/>
      <x:c r="F3" s="25"/>
      <x:c r="G3" s="25"/>
      <x:c r="H3" s="25"/>
      <x:c r="I3" s="25"/>
    </x:row>
    <x:row r="4" spans="2:22" ht="21" hidden="1" customHeight="1">
      <x:c r="B4" s="25"/>
      <x:c r="C4" s="25"/>
      <x:c r="D4" s="25"/>
      <x:c r="E4" s="25"/>
      <x:c r="F4" s="25"/>
      <x:c r="G4" s="25"/>
      <x:c r="H4" s="25"/>
      <x:c r="I4" s="25"/>
    </x:row>
    <x:row r="5" spans="2:22" s="158" customFormat="1" ht="16.5">
      <x:c r="B5" s="1400" t="s">
        <x:v>1026</x:v>
      </x:c>
      <x:c r="C5" s="1400"/>
      <x:c r="D5" s="648" t="s">
        <x:v>169</x:v>
      </x:c>
      <x:c r="E5" s="648" t="s">
        <x:v>170</x:v>
      </x:c>
      <x:c r="F5" s="648" t="s">
        <x:v>171</x:v>
      </x:c>
      <x:c r="G5" s="648" t="s">
        <x:v>172</x:v>
      </x:c>
      <x:c r="H5" s="648" t="s">
        <x:v>173</x:v>
      </x:c>
      <x:c r="I5" s="648" t="s">
        <x:v>174</x:v>
      </x:c>
      <x:c r="J5" s="648" t="s">
        <x:v>175</x:v>
      </x:c>
      <x:c r="K5" s="648" t="s">
        <x:v>176</x:v>
      </x:c>
      <x:c r="L5" s="648" t="s">
        <x:v>177</x:v>
      </x:c>
      <x:c r="M5" s="648" t="s">
        <x:v>178</x:v>
      </x:c>
      <x:c r="N5" s="648" t="s">
        <x:v>179</x:v>
      </x:c>
      <x:c r="O5" s="648" t="s">
        <x:v>180</x:v>
      </x:c>
      <x:c r="P5" s="648" t="s">
        <x:v>1028</x:v>
      </x:c>
      <x:c r="Q5" s="648" t="s">
        <x:v>208</x:v>
      </x:c>
      <x:c r="R5" s="648" t="s">
        <x:v>208</x:v>
      </x:c>
      <x:c r="T5" s="1212" t="s">
        <x:v>18</x:v>
      </x:c>
      <x:c r="U5" s="17" t="s">
        <x:v>19</x:v>
      </x:c>
      <x:c r="V5" s="18">
        <x:v>32</x:v>
      </x:c>
    </x:row>
    <x:row r="6" spans="2:22" s="158" customFormat="1" ht="16.5">
      <x:c r="B6" s="1410" t="s">
        <x:v>1027</x:v>
      </x:c>
      <x:c r="C6" s="1410"/>
      <x:c r="D6" s="677">
        <x:f>SUM(D7:D12)</x:f>
        <x:v>295110.83333333337</x:v>
      </x:c>
      <x:c r="E6" s="677">
        <x:f t="shared" ref="E6:O6" si="0">SUM(E7:E12)</x:f>
        <x:v>295110.83333333337</x:v>
      </x:c>
      <x:c r="F6" s="677">
        <x:f t="shared" si="0"/>
        <x:v>295110.83333333337</x:v>
      </x:c>
      <x:c r="G6" s="677">
        <x:f t="shared" si="0"/>
        <x:v>295110.83333333337</x:v>
      </x:c>
      <x:c r="H6" s="677">
        <x:f t="shared" si="0"/>
        <x:v>295110.83333333337</x:v>
      </x:c>
      <x:c r="I6" s="677">
        <x:f t="shared" si="0"/>
        <x:v>295110.83333333337</x:v>
      </x:c>
      <x:c r="J6" s="677">
        <x:f t="shared" si="0"/>
        <x:v>295110.83333333337</x:v>
      </x:c>
      <x:c r="K6" s="677">
        <x:f t="shared" si="0"/>
        <x:v>295110.83333333337</x:v>
      </x:c>
      <x:c r="L6" s="677">
        <x:f t="shared" si="0"/>
        <x:v>295110.83333333337</x:v>
      </x:c>
      <x:c r="M6" s="677">
        <x:f t="shared" si="0"/>
        <x:v>295110.83333333337</x:v>
      </x:c>
      <x:c r="N6" s="677">
        <x:f t="shared" si="0"/>
        <x:v>295110.83333333337</x:v>
      </x:c>
      <x:c r="O6" s="677">
        <x:f t="shared" si="0"/>
        <x:v>2283860.833333333</x:v>
      </x:c>
      <x:c r="P6" s="677">
        <x:f>SUM(P7:P12)</x:f>
        <x:v>5530080</x:v>
      </x:c>
      <x:c r="Q6" s="770"/>
      <x:c r="R6" s="770"/>
      <x:c r="T6" s="1212"/>
      <x:c r="U6" s="17" t="s">
        <x:v>20</x:v>
      </x:c>
      <x:c r="V6" s="18">
        <x:v>43</x:v>
      </x:c>
    </x:row>
    <x:row r="7" spans="2:22" s="158" customFormat="1" ht="16.5">
      <x:c r="B7" s="732" t="s">
        <x:v>627</x:v>
      </x:c>
      <x:c r="C7" s="673" t="s">
        <x:v>996</x:v>
      </x:c>
      <x:c r="D7" s="565"/>
      <x:c r="E7" s="565"/>
      <x:c r="F7" s="565"/>
      <x:c r="G7" s="565"/>
      <x:c r="H7" s="565"/>
      <x:c r="I7" s="565"/>
      <x:c r="J7" s="565"/>
      <x:c r="K7" s="565"/>
      <x:c r="L7" s="565"/>
      <x:c r="M7" s="565"/>
      <x:c r="N7" s="565"/>
      <x:c r="O7" s="565"/>
      <x:c r="P7" s="565">
        <x:f>SUM(D7:O7)</x:f>
        <x:v>0</x:v>
      </x:c>
      <x:c r="Q7" s="591" t="s">
        <x:v>997</x:v>
      </x:c>
      <x:c r="R7" s="591"/>
      <x:c r="S7" s="164"/>
      <x:c r="T7" s="1212"/>
      <x:c r="U7" s="17" t="s">
        <x:v>21</x:v>
      </x:c>
      <x:c r="V7" s="18">
        <x:v>51</x:v>
      </x:c>
    </x:row>
    <x:row r="8" spans="2:22" s="158" customFormat="1" ht="16.5">
      <x:c r="B8" s="720"/>
      <x:c r="C8" s="673" t="s">
        <x:v>997</x:v>
      </x:c>
      <x:c r="D8" s="565">
        <x:f>SUM($I$17,$I$20,$I$23,$I$26,$I$29,$I$32,$I$35)</x:f>
        <x:v>20300</x:v>
      </x:c>
      <x:c r="E8" s="565">
        <x:f t="shared" ref="E8:O8" si="1">SUM($I$17,$I$20,$I$23,$I$26,$I$29,$I$32,$I$35)</x:f>
        <x:v>20300</x:v>
      </x:c>
      <x:c r="F8" s="565">
        <x:f t="shared" si="1"/>
        <x:v>20300</x:v>
      </x:c>
      <x:c r="G8" s="565">
        <x:f t="shared" si="1"/>
        <x:v>20300</x:v>
      </x:c>
      <x:c r="H8" s="565">
        <x:f t="shared" si="1"/>
        <x:v>20300</x:v>
      </x:c>
      <x:c r="I8" s="565">
        <x:f t="shared" si="1"/>
        <x:v>20300</x:v>
      </x:c>
      <x:c r="J8" s="565">
        <x:f t="shared" si="1"/>
        <x:v>20300</x:v>
      </x:c>
      <x:c r="K8" s="565">
        <x:f t="shared" si="1"/>
        <x:v>20300</x:v>
      </x:c>
      <x:c r="L8" s="565">
        <x:f t="shared" si="1"/>
        <x:v>20300</x:v>
      </x:c>
      <x:c r="M8" s="565">
        <x:f t="shared" si="1"/>
        <x:v>20300</x:v>
      </x:c>
      <x:c r="N8" s="565">
        <x:f t="shared" si="1"/>
        <x:v>20300</x:v>
      </x:c>
      <x:c r="O8" s="565">
        <x:f t="shared" si="1"/>
        <x:v>20300</x:v>
      </x:c>
      <x:c r="P8" s="565">
        <x:f>SUM(D8:O8)</x:f>
        <x:v>243600</x:v>
      </x:c>
      <x:c r="Q8" s="591" t="s">
        <x:v>998</x:v>
      </x:c>
      <x:c r="R8" s="591" t="s">
        <x:v>1253</x:v>
      </x:c>
      <x:c r="S8" s="164"/>
      <x:c r="T8" s="164"/>
      <x:c r="U8" s="164"/>
    </x:row>
    <x:row r="9" spans="2:22" s="158" customFormat="1" ht="16.5">
      <x:c r="B9" s="720"/>
      <x:c r="C9" s="673" t="s">
        <x:v>999</x:v>
      </x:c>
      <x:c r="D9" s="565">
        <x:f>SUM($I$18,$I$21,$I$24,$I$27,$I$30,$I$33,$I$36)</x:f>
        <x:v>43700</x:v>
      </x:c>
      <x:c r="E9" s="565">
        <x:f t="shared" ref="E9:O9" si="2">SUM($I$18,$I$21,$I$24,$I$27,$I$30,$I$33,$I$36)</x:f>
        <x:v>43700</x:v>
      </x:c>
      <x:c r="F9" s="565">
        <x:f t="shared" si="2"/>
        <x:v>43700</x:v>
      </x:c>
      <x:c r="G9" s="565">
        <x:f t="shared" si="2"/>
        <x:v>43700</x:v>
      </x:c>
      <x:c r="H9" s="565">
        <x:f t="shared" si="2"/>
        <x:v>43700</x:v>
      </x:c>
      <x:c r="I9" s="565">
        <x:f t="shared" si="2"/>
        <x:v>43700</x:v>
      </x:c>
      <x:c r="J9" s="565">
        <x:f t="shared" si="2"/>
        <x:v>43700</x:v>
      </x:c>
      <x:c r="K9" s="565">
        <x:f t="shared" si="2"/>
        <x:v>43700</x:v>
      </x:c>
      <x:c r="L9" s="565">
        <x:f t="shared" si="2"/>
        <x:v>43700</x:v>
      </x:c>
      <x:c r="M9" s="565">
        <x:f t="shared" si="2"/>
        <x:v>43700</x:v>
      </x:c>
      <x:c r="N9" s="565">
        <x:f t="shared" si="2"/>
        <x:v>43700</x:v>
      </x:c>
      <x:c r="O9" s="565">
        <x:f t="shared" si="2"/>
        <x:v>43700</x:v>
      </x:c>
      <x:c r="P9" s="565">
        <x:f>SUM(D9:O9)</x:f>
        <x:v>524400</x:v>
      </x:c>
      <x:c r="Q9" s="591" t="s">
        <x:v>1001</x:v>
      </x:c>
      <x:c r="R9" s="591" t="s">
        <x:v>1254</x:v>
      </x:c>
      <x:c r="S9" s="164"/>
      <x:c r="T9" s="164"/>
      <x:c r="U9" s="164"/>
    </x:row>
    <x:row r="10" spans="2:22" s="158" customFormat="1" ht="16.5">
      <x:c r="B10" s="517"/>
      <x:c r="C10" s="673" t="s">
        <x:v>1000</x:v>
      </x:c>
      <x:c r="D10" s="565">
        <x:f>SUM($I$19,$I$22,$I$25,$I$28,$I$31,$I$34,$I$37)</x:f>
        <x:v>24200</x:v>
      </x:c>
      <x:c r="E10" s="565">
        <x:f t="shared" ref="E10:O10" si="3">SUM($I$19,$I$22,$I$25,$I$28,$I$31,$I$34,$I$37)</x:f>
        <x:v>24200</x:v>
      </x:c>
      <x:c r="F10" s="565">
        <x:f t="shared" si="3"/>
        <x:v>24200</x:v>
      </x:c>
      <x:c r="G10" s="565">
        <x:f t="shared" si="3"/>
        <x:v>24200</x:v>
      </x:c>
      <x:c r="H10" s="565">
        <x:f t="shared" si="3"/>
        <x:v>24200</x:v>
      </x:c>
      <x:c r="I10" s="565">
        <x:f t="shared" si="3"/>
        <x:v>24200</x:v>
      </x:c>
      <x:c r="J10" s="565">
        <x:f t="shared" si="3"/>
        <x:v>24200</x:v>
      </x:c>
      <x:c r="K10" s="565">
        <x:f t="shared" si="3"/>
        <x:v>24200</x:v>
      </x:c>
      <x:c r="L10" s="565">
        <x:f t="shared" si="3"/>
        <x:v>24200</x:v>
      </x:c>
      <x:c r="M10" s="565">
        <x:f t="shared" si="3"/>
        <x:v>24200</x:v>
      </x:c>
      <x:c r="N10" s="565">
        <x:f t="shared" si="3"/>
        <x:v>24200</x:v>
      </x:c>
      <x:c r="O10" s="565">
        <x:f t="shared" si="3"/>
        <x:v>24200</x:v>
      </x:c>
      <x:c r="P10" s="565">
        <x:f>SUM(D10:O10)</x:f>
        <x:v>290400</x:v>
      </x:c>
      <x:c r="Q10" s="591" t="s">
        <x:v>1029</x:v>
      </x:c>
      <x:c r="R10" s="591" t="s">
        <x:v>1255</x:v>
      </x:c>
      <x:c r="S10" s="164"/>
      <x:c r="T10" s="164"/>
      <x:c r="U10" s="164"/>
    </x:row>
    <x:row r="11" spans="2:22" s="158" customFormat="1" ht="16.5">
      <x:c r="B11" s="732" t="s">
        <x:v>762</x:v>
      </x:c>
      <x:c r="C11" s="673" t="s">
        <x:v>996</x:v>
      </x:c>
      <x:c r="D11" s="565">
        <x:f>SUM($P$47,$P$50,$P$51)/12</x:f>
        <x:v>190205.83333333334</x:v>
      </x:c>
      <x:c r="E11" s="565">
        <x:f t="shared" ref="E11:M11" si="4">SUM($P$47,$P$50,$P$51)/12</x:f>
        <x:v>190205.83333333334</x:v>
      </x:c>
      <x:c r="F11" s="565">
        <x:f t="shared" si="4"/>
        <x:v>190205.83333333334</x:v>
      </x:c>
      <x:c r="G11" s="565">
        <x:f t="shared" si="4"/>
        <x:v>190205.83333333334</x:v>
      </x:c>
      <x:c r="H11" s="565">
        <x:f t="shared" si="4"/>
        <x:v>190205.83333333334</x:v>
      </x:c>
      <x:c r="I11" s="565">
        <x:f t="shared" si="4"/>
        <x:v>190205.83333333334</x:v>
      </x:c>
      <x:c r="J11" s="565">
        <x:f t="shared" si="4"/>
        <x:v>190205.83333333334</x:v>
      </x:c>
      <x:c r="K11" s="565">
        <x:f t="shared" si="4"/>
        <x:v>190205.83333333334</x:v>
      </x:c>
      <x:c r="L11" s="565">
        <x:f t="shared" si="4"/>
        <x:v>190205.83333333334</x:v>
      </x:c>
      <x:c r="M11" s="565">
        <x:f t="shared" si="4"/>
        <x:v>190205.83333333334</x:v>
      </x:c>
      <x:c r="N11" s="565">
        <x:f>SUM($P$47,$P$50,$P$51)/12</x:f>
        <x:v>190205.83333333334</x:v>
      </x:c>
      <x:c r="O11" s="565">
        <x:f>(SUM($P$47,$P$50,$P$51)/12)+SUM(Q47,Q50,Q51)</x:f>
        <x:v>1843555.8333333333</x:v>
      </x:c>
      <x:c r="P11" s="565">
        <x:f>SUM(D11:O11)</x:f>
        <x:v>3935819.9999999995</x:v>
      </x:c>
      <x:c r="Q11" s="591" t="s">
        <x:v>1030</x:v>
      </x:c>
      <x:c r="R11" s="591"/>
      <x:c r="S11" s="164"/>
      <x:c r="T11" s="164"/>
      <x:c r="U11" s="164"/>
    </x:row>
    <x:row r="12" spans="2:22" s="158" customFormat="1" ht="16.5">
      <x:c r="B12" s="720"/>
      <x:c r="C12" s="673" t="s">
        <x:v>997</x:v>
      </x:c>
      <x:c r="D12" s="565">
        <x:f>SUM($P$48)/12</x:f>
        <x:v>16705</x:v>
      </x:c>
      <x:c r="E12" s="565">
        <x:f t="shared" ref="E12:M12" si="5">SUM($P$48)/12</x:f>
        <x:v>16705</x:v>
      </x:c>
      <x:c r="F12" s="565">
        <x:f t="shared" si="5"/>
        <x:v>16705</x:v>
      </x:c>
      <x:c r="G12" s="565">
        <x:f t="shared" si="5"/>
        <x:v>16705</x:v>
      </x:c>
      <x:c r="H12" s="565">
        <x:f t="shared" si="5"/>
        <x:v>16705</x:v>
      </x:c>
      <x:c r="I12" s="565">
        <x:f t="shared" si="5"/>
        <x:v>16705</x:v>
      </x:c>
      <x:c r="J12" s="565">
        <x:f t="shared" si="5"/>
        <x:v>16705</x:v>
      </x:c>
      <x:c r="K12" s="565">
        <x:f t="shared" si="5"/>
        <x:v>16705</x:v>
      </x:c>
      <x:c r="L12" s="565">
        <x:f t="shared" si="5"/>
        <x:v>16705</x:v>
      </x:c>
      <x:c r="M12" s="565">
        <x:f t="shared" si="5"/>
        <x:v>16705</x:v>
      </x:c>
      <x:c r="N12" s="565">
        <x:f>SUM($P$48)/12</x:f>
        <x:v>16705</x:v>
      </x:c>
      <x:c r="O12" s="565">
        <x:f>SUM($P$48)/12+SUM(Q48)</x:f>
        <x:v>352105</x:v>
      </x:c>
      <x:c r="P12" s="565">
        <x:f t="shared" ref="P12:P13" si="6">SUM(D12:O12)</x:f>
        <x:v>535860</x:v>
      </x:c>
      <x:c r="Q12" s="591" t="s">
        <x:v>998</x:v>
      </x:c>
      <x:c r="R12" s="591" t="s">
        <x:v>1256</x:v>
      </x:c>
      <x:c r="S12" s="164"/>
      <x:c r="T12" s="164"/>
      <x:c r="U12" s="164"/>
    </x:row>
    <x:row r="13" spans="2:22" ht="21" customHeight="1">
      <x:c r="B13" s="784"/>
      <x:c r="C13" s="673" t="s">
        <x:v>999</x:v>
      </x:c>
      <x:c r="D13" s="565">
        <x:f>SUM($P$49)/12</x:f>
        <x:v>67150</x:v>
      </x:c>
      <x:c r="E13" s="565">
        <x:f t="shared" ref="E13:M13" si="7">SUM($P$49)/12</x:f>
        <x:v>67150</x:v>
      </x:c>
      <x:c r="F13" s="565">
        <x:f t="shared" si="7"/>
        <x:v>67150</x:v>
      </x:c>
      <x:c r="G13" s="565">
        <x:f t="shared" si="7"/>
        <x:v>67150</x:v>
      </x:c>
      <x:c r="H13" s="565">
        <x:f t="shared" si="7"/>
        <x:v>67150</x:v>
      </x:c>
      <x:c r="I13" s="565">
        <x:f t="shared" si="7"/>
        <x:v>67150</x:v>
      </x:c>
      <x:c r="J13" s="565">
        <x:f t="shared" si="7"/>
        <x:v>67150</x:v>
      </x:c>
      <x:c r="K13" s="565">
        <x:f t="shared" si="7"/>
        <x:v>67150</x:v>
      </x:c>
      <x:c r="L13" s="565">
        <x:f t="shared" si="7"/>
        <x:v>67150</x:v>
      </x:c>
      <x:c r="M13" s="565">
        <x:f t="shared" si="7"/>
        <x:v>67150</x:v>
      </x:c>
      <x:c r="N13" s="565">
        <x:f>SUM($P$49)/12</x:f>
        <x:v>67150</x:v>
      </x:c>
      <x:c r="O13" s="565">
        <x:f>SUM($P$49)/12+Q49</x:f>
        <x:v>905650</x:v>
      </x:c>
      <x:c r="P13" s="565">
        <x:f t="shared" si="6"/>
        <x:v>1644300</x:v>
      </x:c>
      <x:c r="Q13" s="591" t="s">
        <x:v>1001</x:v>
      </x:c>
      <x:c r="R13" s="591"/>
      <x:c r="S13" s="164"/>
      <x:c r="T13" s="164"/>
      <x:c r="U13" s="164"/>
    </x:row>
    <x:row r="14" spans="2:22" ht="21" customHeight="1">
      <x:c r="B14" s="382"/>
      <x:c r="C14" s="432"/>
      <x:c r="D14" s="382"/>
      <x:c r="E14" s="382"/>
      <x:c r="F14" s="382"/>
      <x:c r="G14" s="382"/>
      <x:c r="H14" s="382"/>
      <x:c r="I14" s="382"/>
      <x:c r="J14" s="382"/>
      <x:c r="K14" s="382"/>
      <x:c r="L14" s="382"/>
      <x:c r="M14" s="382"/>
      <x:c r="N14" s="382"/>
      <x:c r="O14" s="382"/>
      <x:c r="P14" s="382"/>
      <x:c r="Q14" s="382"/>
      <x:c r="R14" s="382"/>
      <x:c r="S14" s="164"/>
      <x:c r="T14" s="164"/>
      <x:c r="U14" s="164"/>
    </x:row>
    <x:row r="15" spans="2:22" ht="16.5">
      <x:c r="B15" s="406" t="s">
        <x:v>599</x:v>
      </x:c>
      <x:c r="C15" s="569"/>
      <x:c r="D15" s="569"/>
      <x:c r="E15" s="569"/>
      <x:c r="F15" s="569"/>
      <x:c r="G15" s="569"/>
      <x:c r="H15" s="569"/>
      <x:c r="I15" s="382"/>
      <x:c r="J15" s="382"/>
      <x:c r="K15" s="382"/>
      <x:c r="L15" s="382"/>
      <x:c r="M15" s="382"/>
      <x:c r="N15" s="382"/>
      <x:c r="R15" s="382"/>
      <x:c r="S15" s="164"/>
      <x:c r="T15" s="164"/>
      <x:c r="U15" s="164"/>
    </x:row>
    <x:row r="16" spans="2:22" s="164" customFormat="1" ht="31.9" customHeight="1">
      <x:c r="B16" s="699" t="s">
        <x:v>600</x:v>
      </x:c>
      <x:c r="C16" s="699" t="s">
        <x:v>606</x:v>
      </x:c>
      <x:c r="D16" s="699" t="s">
        <x:v>605</x:v>
      </x:c>
      <x:c r="E16" s="699" t="s">
        <x:v>604</x:v>
      </x:c>
      <x:c r="F16" s="427" t="s">
        <x:v>990</x:v>
      </x:c>
      <x:c r="G16" s="699" t="s">
        <x:v>610</x:v>
      </x:c>
      <x:c r="H16" s="427" t="s">
        <x:v>612</x:v>
      </x:c>
      <x:c r="I16" s="427" t="s">
        <x:v>611</x:v>
      </x:c>
      <x:c r="J16" s="427" t="s">
        <x:v>615</x:v>
      </x:c>
      <x:c r="K16" s="569"/>
      <x:c r="L16" s="569"/>
      <x:c r="M16" s="569"/>
      <x:c r="N16" s="382"/>
      <x:c r="R16" s="382"/>
    </x:row>
    <x:row r="17" spans="2:11" s="164" customFormat="1" ht="17.45" customHeight="1">
      <x:c r="B17" s="1411" t="s">
        <x:v>603</x:v>
      </x:c>
      <x:c r="C17" s="1427" t="s">
        <x:v>601</x:v>
      </x:c>
      <x:c r="D17" s="1411" t="s">
        <x:v>613</x:v>
      </x:c>
      <x:c r="E17" s="574"/>
      <x:c r="F17" s="574"/>
      <x:c r="G17" s="527" t="s">
        <x:v>607</x:v>
      </x:c>
      <x:c r="H17" s="224">
        <x:f>700</x:f>
        <x:v>700</x:v>
      </x:c>
      <x:c r="I17" s="224">
        <x:f>H17*E18*F18</x:f>
        <x:v>6300</x:v>
      </x:c>
      <x:c r="J17" s="548"/>
      <x:c r="K17" s="569"/>
    </x:row>
    <x:row r="18" spans="2:11" s="164" customFormat="1" ht="15" customHeight="1">
      <x:c r="B18" s="1412"/>
      <x:c r="C18" s="1421"/>
      <x:c r="D18" s="1412"/>
      <x:c r="E18" s="436">
        <x:v>3</x:v>
      </x:c>
      <x:c r="F18" s="436">
        <x:v>3</x:v>
      </x:c>
      <x:c r="G18" s="408" t="s">
        <x:v>608</x:v>
      </x:c>
      <x:c r="H18" s="225">
        <x:v>3800</x:v>
      </x:c>
      <x:c r="I18" s="225">
        <x:f>H18*E18*F18</x:f>
        <x:v>34200</x:v>
      </x:c>
      <x:c r="J18" s="226">
        <x:f>SUM(I17:I19)</x:f>
        <x:v>47700</x:v>
      </x:c>
      <x:c r="K18" s="569"/>
    </x:row>
    <x:row r="19" spans="2:11" s="164" customFormat="1" ht="14.25">
      <x:c r="B19" s="1412"/>
      <x:c r="C19" s="1422"/>
      <x:c r="D19" s="1413"/>
      <x:c r="E19" s="477"/>
      <x:c r="F19" s="477"/>
      <x:c r="G19" s="612" t="s">
        <x:v>609</x:v>
      </x:c>
      <x:c r="H19" s="227">
        <x:v>2400</x:v>
      </x:c>
      <x:c r="I19" s="227">
        <x:f>H19*F18</x:f>
        <x:v>7200</x:v>
      </x:c>
      <x:c r="J19" s="228"/>
      <x:c r="K19" s="569"/>
    </x:row>
    <x:row r="20" spans="2:11" s="164" customFormat="1" ht="17.45" customHeight="1">
      <x:c r="B20" s="1412"/>
      <x:c r="C20" s="1427" t="s">
        <x:v>602</x:v>
      </x:c>
      <x:c r="D20" s="1411" t="s">
        <x:v>614</x:v>
      </x:c>
      <x:c r="E20" s="574"/>
      <x:c r="F20" s="574"/>
      <x:c r="G20" s="527" t="s">
        <x:v>607</x:v>
      </x:c>
      <x:c r="H20" s="224">
        <x:f>700</x:f>
        <x:v>700</x:v>
      </x:c>
      <x:c r="I20" s="224">
        <x:f>H20*E21*5</x:f>
        <x:v>7000</x:v>
      </x:c>
      <x:c r="J20" s="548"/>
      <x:c r="K20" s="569"/>
    </x:row>
    <x:row r="21" spans="2:11" s="164" customFormat="1" ht="14.25">
      <x:c r="B21" s="1412"/>
      <x:c r="C21" s="1421"/>
      <x:c r="D21" s="1412"/>
      <x:c r="E21" s="436">
        <x:v>2</x:v>
      </x:c>
      <x:c r="F21" s="436">
        <x:v>2</x:v>
      </x:c>
      <x:c r="G21" s="408" t="s">
        <x:v>608</x:v>
      </x:c>
      <x:c r="H21" s="225" t="s">
        <x:v>287</x:v>
      </x:c>
      <x:c r="I21" s="225" t="s">
        <x:v>287</x:v>
      </x:c>
      <x:c r="J21" s="226">
        <x:f>SUM(I20:I22)</x:f>
        <x:v>10500</x:v>
      </x:c>
      <x:c r="K21" s="569"/>
    </x:row>
    <x:row r="22" spans="2:11" s="164" customFormat="1" ht="14.25">
      <x:c r="B22" s="1413"/>
      <x:c r="C22" s="1422"/>
      <x:c r="D22" s="1413"/>
      <x:c r="E22" s="477"/>
      <x:c r="F22" s="477"/>
      <x:c r="G22" s="612" t="s">
        <x:v>609</x:v>
      </x:c>
      <x:c r="H22" s="227">
        <x:v>700</x:v>
      </x:c>
      <x:c r="I22" s="227">
        <x:f>H22*5</x:f>
        <x:v>3500</x:v>
      </x:c>
      <x:c r="J22" s="228"/>
      <x:c r="K22" s="569"/>
    </x:row>
    <x:row r="23" spans="2:11" s="164" customFormat="1" ht="17.45" customHeight="1">
      <x:c r="B23" s="1424" t="s">
        <x:v>619</x:v>
      </x:c>
      <x:c r="C23" s="1411" t="s">
        <x:v>617</x:v>
      </x:c>
      <x:c r="D23" s="1411" t="s">
        <x:v>618</x:v>
      </x:c>
      <x:c r="E23" s="574"/>
      <x:c r="F23" s="574"/>
      <x:c r="G23" s="527" t="s">
        <x:v>607</x:v>
      </x:c>
      <x:c r="H23" s="224">
        <x:f>700</x:f>
        <x:v>700</x:v>
      </x:c>
      <x:c r="I23" s="224">
        <x:f>H23*E24*F24</x:f>
        <x:v>2100</x:v>
      </x:c>
      <x:c r="J23" s="548"/>
      <x:c r="K23" s="569"/>
    </x:row>
    <x:row r="24" spans="2:11" s="164" customFormat="1" ht="15" customHeight="1">
      <x:c r="B24" s="1424"/>
      <x:c r="C24" s="1421"/>
      <x:c r="D24" s="1412"/>
      <x:c r="E24" s="436">
        <x:v>3</x:v>
      </x:c>
      <x:c r="F24" s="436">
        <x:v>1</x:v>
      </x:c>
      <x:c r="G24" s="408" t="s">
        <x:v>608</x:v>
      </x:c>
      <x:c r="H24" s="225">
        <x:v>0</x:v>
      </x:c>
      <x:c r="I24" s="225">
        <x:f>H24*E24*F24</x:f>
        <x:v>0</x:v>
      </x:c>
      <x:c r="J24" s="226">
        <x:f>SUM(I23:I25)</x:f>
        <x:v>5100</x:v>
      </x:c>
      <x:c r="K24" s="569"/>
    </x:row>
    <x:row r="25" spans="2:11" s="164" customFormat="1" ht="14.25">
      <x:c r="B25" s="1424"/>
      <x:c r="C25" s="1422"/>
      <x:c r="D25" s="1413"/>
      <x:c r="E25" s="477"/>
      <x:c r="F25" s="477"/>
      <x:c r="G25" s="612" t="s">
        <x:v>609</x:v>
      </x:c>
      <x:c r="H25" s="227">
        <x:v>3000</x:v>
      </x:c>
      <x:c r="I25" s="227">
        <x:f>H25</x:f>
        <x:v>3000</x:v>
      </x:c>
      <x:c r="J25" s="228"/>
      <x:c r="K25" s="569"/>
    </x:row>
    <x:row r="26" spans="2:11" s="164" customFormat="1" ht="17.45" customHeight="1">
      <x:c r="B26" s="1423" t="s">
        <x:v>616</x:v>
      </x:c>
      <x:c r="C26" s="1411" t="s">
        <x:v>617</x:v>
      </x:c>
      <x:c r="D26" s="1411" t="s">
        <x:v>618</x:v>
      </x:c>
      <x:c r="E26" s="574"/>
      <x:c r="F26" s="574"/>
      <x:c r="G26" s="527" t="s">
        <x:v>607</x:v>
      </x:c>
      <x:c r="H26" s="224">
        <x:f>700</x:f>
        <x:v>700</x:v>
      </x:c>
      <x:c r="I26" s="224">
        <x:f>H26*E27*F27</x:f>
        <x:v>1400</x:v>
      </x:c>
      <x:c r="J26" s="548"/>
      <x:c r="K26" s="569"/>
    </x:row>
    <x:row r="27" spans="2:11" s="164" customFormat="1" ht="15" customHeight="1">
      <x:c r="B27" s="1423"/>
      <x:c r="C27" s="1421"/>
      <x:c r="D27" s="1412"/>
      <x:c r="E27" s="436">
        <x:v>2</x:v>
      </x:c>
      <x:c r="F27" s="436">
        <x:v>1</x:v>
      </x:c>
      <x:c r="G27" s="408" t="s">
        <x:v>608</x:v>
      </x:c>
      <x:c r="H27" s="225">
        <x:v>0</x:v>
      </x:c>
      <x:c r="I27" s="225">
        <x:f>H27*E27*F27</x:f>
        <x:v>0</x:v>
      </x:c>
      <x:c r="J27" s="226">
        <x:f>SUM(I26:I28)</x:f>
        <x:v>4400</x:v>
      </x:c>
      <x:c r="K27" s="569"/>
    </x:row>
    <x:row r="28" spans="2:11" s="164" customFormat="1" ht="14.25">
      <x:c r="B28" s="1423"/>
      <x:c r="C28" s="1422"/>
      <x:c r="D28" s="1413"/>
      <x:c r="E28" s="477"/>
      <x:c r="F28" s="477"/>
      <x:c r="G28" s="612" t="s">
        <x:v>609</x:v>
      </x:c>
      <x:c r="H28" s="227">
        <x:v>3000</x:v>
      </x:c>
      <x:c r="I28" s="227">
        <x:f>H28</x:f>
        <x:v>3000</x:v>
      </x:c>
      <x:c r="J28" s="228"/>
      <x:c r="K28" s="569"/>
    </x:row>
    <x:row r="29" spans="2:11" s="164" customFormat="1" ht="17.45" customHeight="1">
      <x:c r="B29" s="1423" t="s">
        <x:v>620</x:v>
      </x:c>
      <x:c r="C29" s="1411" t="s">
        <x:v>617</x:v>
      </x:c>
      <x:c r="D29" s="1411" t="s">
        <x:v>621</x:v>
      </x:c>
      <x:c r="E29" s="574"/>
      <x:c r="F29" s="574"/>
      <x:c r="G29" s="527" t="s">
        <x:v>607</x:v>
      </x:c>
      <x:c r="H29" s="224">
        <x:f>700</x:f>
        <x:v>700</x:v>
      </x:c>
      <x:c r="I29" s="224">
        <x:f>H29*E30*F30</x:f>
        <x:v>1400</x:v>
      </x:c>
      <x:c r="J29" s="548"/>
      <x:c r="K29" s="569"/>
    </x:row>
    <x:row r="30" spans="2:11" s="164" customFormat="1" ht="15" customHeight="1">
      <x:c r="B30" s="1423"/>
      <x:c r="C30" s="1421"/>
      <x:c r="D30" s="1412"/>
      <x:c r="E30" s="436">
        <x:v>2</x:v>
      </x:c>
      <x:c r="F30" s="436">
        <x:v>1</x:v>
      </x:c>
      <x:c r="G30" s="408" t="s">
        <x:v>608</x:v>
      </x:c>
      <x:c r="H30" s="225">
        <x:v>3800</x:v>
      </x:c>
      <x:c r="I30" s="225">
        <x:v>3800</x:v>
      </x:c>
      <x:c r="J30" s="226">
        <x:f>SUM(I29:I31)</x:f>
        <x:v>8200</x:v>
      </x:c>
      <x:c r="K30" s="569"/>
    </x:row>
    <x:row r="31" spans="2:11" s="164" customFormat="1" ht="14.25">
      <x:c r="B31" s="1423"/>
      <x:c r="C31" s="1422"/>
      <x:c r="D31" s="1413"/>
      <x:c r="E31" s="477"/>
      <x:c r="F31" s="477"/>
      <x:c r="G31" s="612" t="s">
        <x:v>609</x:v>
      </x:c>
      <x:c r="H31" s="227">
        <x:v>3000</x:v>
      </x:c>
      <x:c r="I31" s="227">
        <x:f>H31</x:f>
        <x:v>3000</x:v>
      </x:c>
      <x:c r="J31" s="228"/>
      <x:c r="K31" s="569"/>
    </x:row>
    <x:row r="32" spans="2:11" s="164" customFormat="1" ht="17.45" customHeight="1">
      <x:c r="B32" s="1423" t="s">
        <x:v>622</x:v>
      </x:c>
      <x:c r="C32" s="1411" t="s">
        <x:v>623</x:v>
      </x:c>
      <x:c r="D32" s="1411" t="s">
        <x:v>618</x:v>
      </x:c>
      <x:c r="E32" s="574"/>
      <x:c r="F32" s="574"/>
      <x:c r="G32" s="527" t="s">
        <x:v>607</x:v>
      </x:c>
      <x:c r="H32" s="224">
        <x:f>700</x:f>
        <x:v>700</x:v>
      </x:c>
      <x:c r="I32" s="224">
        <x:f>H32*E33*F33</x:f>
        <x:v>1400</x:v>
      </x:c>
      <x:c r="J32" s="548"/>
      <x:c r="K32" s="569"/>
    </x:row>
    <x:row r="33" spans="2:17" s="164" customFormat="1" ht="15" customHeight="1">
      <x:c r="B33" s="1423"/>
      <x:c r="C33" s="1421"/>
      <x:c r="D33" s="1412"/>
      <x:c r="E33" s="436">
        <x:v>2</x:v>
      </x:c>
      <x:c r="F33" s="436">
        <x:v>1</x:v>
      </x:c>
      <x:c r="G33" s="408" t="s">
        <x:v>608</x:v>
      </x:c>
      <x:c r="H33" s="225">
        <x:v>3800</x:v>
      </x:c>
      <x:c r="I33" s="225">
        <x:v>3800</x:v>
      </x:c>
      <x:c r="J33" s="226">
        <x:f>SUM(I32:I34)</x:f>
        <x:v>8200</x:v>
      </x:c>
      <x:c r="K33" s="569"/>
      <x:c r="L33" s="569"/>
      <x:c r="M33" s="569"/>
      <x:c r="N33" s="569"/>
      <x:c r="O33" s="382"/>
      <x:c r="P33" s="382"/>
      <x:c r="Q33" s="382"/>
    </x:row>
    <x:row r="34" spans="2:17" s="164" customFormat="1" ht="14.25">
      <x:c r="B34" s="1423"/>
      <x:c r="C34" s="1422"/>
      <x:c r="D34" s="1413"/>
      <x:c r="E34" s="477"/>
      <x:c r="F34" s="477"/>
      <x:c r="G34" s="612" t="s">
        <x:v>609</x:v>
      </x:c>
      <x:c r="H34" s="227">
        <x:v>3000</x:v>
      </x:c>
      <x:c r="I34" s="227">
        <x:f>H34</x:f>
        <x:v>3000</x:v>
      </x:c>
      <x:c r="J34" s="228"/>
      <x:c r="K34" s="569"/>
      <x:c r="L34" s="569"/>
      <x:c r="M34" s="569"/>
      <x:c r="N34" s="569"/>
      <x:c r="O34" s="382"/>
      <x:c r="P34" s="382"/>
      <x:c r="Q34" s="382"/>
    </x:row>
    <x:row r="35" spans="2:17" s="164" customFormat="1" ht="17.45" customHeight="1">
      <x:c r="B35" s="1423" t="s">
        <x:v>625</x:v>
      </x:c>
      <x:c r="C35" s="1411" t="s">
        <x:v>623</x:v>
      </x:c>
      <x:c r="D35" s="1411" t="s">
        <x:v>626</x:v>
      </x:c>
      <x:c r="E35" s="574"/>
      <x:c r="F35" s="574"/>
      <x:c r="G35" s="527" t="s">
        <x:v>607</x:v>
      </x:c>
      <x:c r="H35" s="224">
        <x:f>700</x:f>
        <x:v>700</x:v>
      </x:c>
      <x:c r="I35" s="224">
        <x:f>H35*E36*F36/2</x:f>
        <x:v>700</x:v>
      </x:c>
      <x:c r="J35" s="548"/>
      <x:c r="K35" s="569"/>
      <x:c r="L35" s="569"/>
      <x:c r="M35" s="569"/>
      <x:c r="N35" s="569"/>
      <x:c r="O35" s="382"/>
      <x:c r="P35" s="382"/>
      <x:c r="Q35" s="382"/>
    </x:row>
    <x:row r="36" spans="2:17" s="164" customFormat="1" ht="15" customHeight="1">
      <x:c r="B36" s="1423"/>
      <x:c r="C36" s="1421"/>
      <x:c r="D36" s="1412"/>
      <x:c r="E36" s="436">
        <x:v>2</x:v>
      </x:c>
      <x:c r="F36" s="436">
        <x:v>1</x:v>
      </x:c>
      <x:c r="G36" s="408" t="s">
        <x:v>608</x:v>
      </x:c>
      <x:c r="H36" s="225">
        <x:v>3800</x:v>
      </x:c>
      <x:c r="I36" s="229">
        <x:v>1900</x:v>
      </x:c>
      <x:c r="J36" s="226">
        <x:f>SUM(I35:I37)</x:f>
        <x:v>4100</x:v>
      </x:c>
      <x:c r="K36" s="569"/>
      <x:c r="L36" s="569"/>
      <x:c r="M36" s="569"/>
      <x:c r="N36" s="569"/>
      <x:c r="O36" s="382"/>
      <x:c r="P36" s="382"/>
      <x:c r="Q36" s="382"/>
    </x:row>
    <x:row r="37" spans="2:17" s="164" customFormat="1" ht="14.25">
      <x:c r="B37" s="1423"/>
      <x:c r="C37" s="1422"/>
      <x:c r="D37" s="1413"/>
      <x:c r="E37" s="477"/>
      <x:c r="F37" s="477"/>
      <x:c r="G37" s="612" t="s">
        <x:v>609</x:v>
      </x:c>
      <x:c r="H37" s="227">
        <x:v>3000</x:v>
      </x:c>
      <x:c r="I37" s="227">
        <x:f>H37/2</x:f>
        <x:v>1500</x:v>
      </x:c>
      <x:c r="J37" s="228"/>
      <x:c r="K37" s="466">
        <x:f>SUM(J17:J37)*12</x:f>
        <x:v>1058400</x:v>
      </x:c>
      <x:c r="L37" s="569"/>
      <x:c r="M37" s="569"/>
      <x:c r="N37" s="569"/>
      <x:c r="O37" s="382"/>
      <x:c r="P37" s="382"/>
      <x:c r="Q37" s="382"/>
    </x:row>
    <x:row r="38" spans="2:17" ht="21" customHeight="1">
      <x:c r="B38" s="382"/>
      <x:c r="C38" s="382"/>
      <x:c r="D38" s="382"/>
      <x:c r="E38" s="382"/>
      <x:c r="F38" s="382"/>
      <x:c r="G38" s="382"/>
      <x:c r="H38" s="382"/>
      <x:c r="I38" s="382"/>
      <x:c r="J38" s="382"/>
      <x:c r="K38" s="382"/>
      <x:c r="L38" s="382"/>
      <x:c r="M38" s="382"/>
      <x:c r="N38" s="382"/>
      <x:c r="O38" s="382"/>
      <x:c r="P38" s="382"/>
      <x:c r="Q38" s="382"/>
    </x:row>
    <x:row r="39" spans="2:17" ht="16.5">
      <x:c r="B39" s="406" t="s">
        <x:v>658</x:v>
      </x:c>
      <x:c r="C39" s="569"/>
      <x:c r="D39" s="569"/>
      <x:c r="E39" s="569"/>
      <x:c r="F39" s="569"/>
      <x:c r="G39" s="569"/>
      <x:c r="H39" s="569"/>
      <x:c r="I39" s="382"/>
      <x:c r="J39" s="382"/>
      <x:c r="K39" s="382"/>
      <x:c r="L39" s="382"/>
      <x:c r="M39" s="382"/>
      <x:c r="N39" s="382"/>
      <x:c r="O39" s="382"/>
      <x:c r="P39" s="382"/>
      <x:c r="Q39" s="382"/>
    </x:row>
    <x:row r="40" spans="2:17" s="164" customFormat="1" ht="14.25">
      <x:c r="B40" s="409" t="s">
        <x:v>634</x:v>
      </x:c>
      <x:c r="C40" s="409" t="s">
        <x:v>600</x:v>
      </x:c>
      <x:c r="D40" s="409" t="s">
        <x:v>606</x:v>
      </x:c>
      <x:c r="E40" s="409" t="s">
        <x:v>232</x:v>
      </x:c>
      <x:c r="F40" s="409" t="s">
        <x:v>642</x:v>
      </x:c>
      <x:c r="G40" s="409" t="s">
        <x:v>635</x:v>
      </x:c>
      <x:c r="H40" s="497" t="s">
        <x:v>629</x:v>
      </x:c>
      <x:c r="I40" s="776" t="s">
        <x:v>1031</x:v>
      </x:c>
      <x:c r="J40" s="409" t="s">
        <x:v>163</x:v>
      </x:c>
      <x:c r="K40" s="409" t="s">
        <x:v>651</x:v>
      </x:c>
      <x:c r="L40" s="409" t="s">
        <x:v>207</x:v>
      </x:c>
      <x:c r="M40" s="409" t="s">
        <x:v>589</x:v>
      </x:c>
      <x:c r="N40" s="622"/>
      <x:c r="O40" s="569"/>
      <x:c r="P40" s="569"/>
      <x:c r="Q40" s="569"/>
    </x:row>
    <x:row r="41" spans="2:17" s="164" customFormat="1" ht="14.45" customHeight="1">
      <x:c r="B41" s="1417" t="s">
        <x:v>647</x:v>
      </x:c>
      <x:c r="C41" s="1417" t="s">
        <x:v>648</x:v>
      </x:c>
      <x:c r="D41" s="1417" t="s">
        <x:v>649</x:v>
      </x:c>
      <x:c r="E41" s="1406" t="s">
        <x:v>650</x:v>
      </x:c>
      <x:c r="F41" s="1406">
        <x:v>2</x:v>
      </x:c>
      <x:c r="G41" s="1406">
        <x:v>7</x:v>
      </x:c>
      <x:c r="H41" s="457" t="s">
        <x:v>590</x:v>
      </x:c>
      <x:c r="I41" s="457" t="s">
        <x:v>591</x:v>
      </x:c>
      <x:c r="J41" s="422">
        <x:v>500</x:v>
      </x:c>
      <x:c r="K41" s="704">
        <x:v>17500</x:v>
      </x:c>
      <x:c r="L41" s="704">
        <x:f>K41*F41</x:f>
        <x:v>35000</x:v>
      </x:c>
      <x:c r="M41" s="603"/>
      <x:c r="N41" s="622"/>
      <x:c r="O41" s="569"/>
      <x:c r="P41" s="569"/>
      <x:c r="Q41" s="569"/>
    </x:row>
    <x:row r="42" spans="2:17" s="164" customFormat="1" ht="14.45" customHeight="1">
      <x:c r="B42" s="1418"/>
      <x:c r="C42" s="1418"/>
      <x:c r="D42" s="1418"/>
      <x:c r="E42" s="1407"/>
      <x:c r="F42" s="1407"/>
      <x:c r="G42" s="1407"/>
      <x:c r="H42" s="460" t="s">
        <x:v>592</x:v>
      </x:c>
      <x:c r="I42" s="460" t="s">
        <x:v>593</x:v>
      </x:c>
      <x:c r="J42" s="469">
        <x:v>30</x:v>
      </x:c>
      <x:c r="K42" s="555">
        <x:v>1050</x:v>
      </x:c>
      <x:c r="L42" s="555">
        <x:f>K42*F41*G41</x:f>
        <x:v>14700</x:v>
      </x:c>
      <x:c r="M42" s="474"/>
      <x:c r="N42" s="622"/>
      <x:c r="O42" s="569"/>
      <x:c r="P42" s="569"/>
      <x:c r="Q42" s="569"/>
    </x:row>
    <x:row r="43" spans="2:17" s="164" customFormat="1" ht="14.45" customHeight="1">
      <x:c r="B43" s="1418"/>
      <x:c r="C43" s="1418"/>
      <x:c r="D43" s="1418"/>
      <x:c r="E43" s="1407"/>
      <x:c r="F43" s="1407"/>
      <x:c r="G43" s="1407"/>
      <x:c r="H43" s="460" t="s">
        <x:v>592</x:v>
      </x:c>
      <x:c r="I43" s="460" t="s">
        <x:v>594</x:v>
      </x:c>
      <x:c r="J43" s="469">
        <x:v>100</x:v>
      </x:c>
      <x:c r="K43" s="555">
        <x:v>3500</x:v>
      </x:c>
      <x:c r="L43" s="555">
        <x:f>K43*F41*G41</x:f>
        <x:v>49000</x:v>
      </x:c>
      <x:c r="M43" s="474"/>
      <x:c r="N43" s="622"/>
      <x:c r="O43" s="569"/>
      <x:c r="P43" s="569"/>
      <x:c r="Q43" s="569"/>
    </x:row>
    <x:row r="44" spans="2:17" s="164" customFormat="1" ht="14.45" customHeight="1">
      <x:c r="B44" s="1418"/>
      <x:c r="C44" s="1418"/>
      <x:c r="D44" s="1418"/>
      <x:c r="E44" s="1407"/>
      <x:c r="F44" s="1407"/>
      <x:c r="G44" s="1407"/>
      <x:c r="H44" s="460" t="s">
        <x:v>592</x:v>
      </x:c>
      <x:c r="I44" s="460" t="s">
        <x:v>595</x:v>
      </x:c>
      <x:c r="J44" s="469">
        <x:v>70</x:v>
      </x:c>
      <x:c r="K44" s="555">
        <x:v>2450</x:v>
      </x:c>
      <x:c r="L44" s="555">
        <x:f>K44*G41</x:f>
        <x:v>17150</x:v>
      </x:c>
      <x:c r="M44" s="578" t="s">
        <x:v>596</x:v>
      </x:c>
      <x:c r="N44" s="622"/>
      <x:c r="O44" s="569"/>
      <x:c r="P44" s="569"/>
      <x:c r="Q44" s="569"/>
    </x:row>
    <x:row r="45" spans="2:17" s="164" customFormat="1" ht="14.45" customHeight="1">
      <x:c r="B45" s="1426"/>
      <x:c r="C45" s="1426"/>
      <x:c r="D45" s="1426"/>
      <x:c r="E45" s="1420"/>
      <x:c r="F45" s="1420"/>
      <x:c r="G45" s="1420"/>
      <x:c r="H45" s="460" t="s">
        <x:v>592</x:v>
      </x:c>
      <x:c r="I45" s="536" t="s">
        <x:v>597</x:v>
      </x:c>
      <x:c r="J45" s="745">
        <x:v>15</x:v>
      </x:c>
      <x:c r="K45" s="555">
        <x:v>525</x:v>
      </x:c>
      <x:c r="L45" s="756">
        <x:f>K45*F41*G41</x:f>
        <x:v>7350</x:v>
      </x:c>
      <x:c r="M45" s="504"/>
      <x:c r="N45" s="622"/>
      <x:c r="O45" s="569"/>
      <x:c r="P45" s="569"/>
      <x:c r="Q45" s="569"/>
    </x:row>
    <x:row r="46" spans="2:17" s="164" customFormat="1" ht="14.45" customHeight="1">
      <x:c r="B46" s="1419"/>
      <x:c r="C46" s="1419"/>
      <x:c r="D46" s="1419"/>
      <x:c r="E46" s="1409"/>
      <x:c r="F46" s="1409"/>
      <x:c r="G46" s="1409"/>
      <x:c r="H46" s="748" t="s">
        <x:v>598</x:v>
      </x:c>
      <x:c r="I46" s="805" t="s">
        <x:v>287</x:v>
      </x:c>
      <x:c r="J46" s="805" t="s">
        <x:v>287</x:v>
      </x:c>
      <x:c r="K46" s="611">
        <x:f>SUM(K41:K45)</x:f>
        <x:v>25025</x:v>
      </x:c>
      <x:c r="L46" s="476">
        <x:f>SUM(L41:L45)</x:f>
        <x:v>123200</x:v>
      </x:c>
      <x:c r="M46" s="645"/>
      <x:c r="N46" s="622"/>
      <x:c r="O46" s="569"/>
      <x:c r="P46" s="569" t="s">
        <x:v>1033</x:v>
      </x:c>
      <x:c r="Q46" s="569" t="s">
        <x:v>1032</x:v>
      </x:c>
    </x:row>
    <x:row r="47" spans="2:17" s="164" customFormat="1" ht="14.45" customHeight="1">
      <x:c r="B47" s="1425" t="s">
        <x:v>644</x:v>
      </x:c>
      <x:c r="C47" s="1417" t="s">
        <x:v>641</x:v>
      </x:c>
      <x:c r="D47" s="1417" t="s">
        <x:v>640</x:v>
      </x:c>
      <x:c r="E47" s="1406" t="s">
        <x:v>639</x:v>
      </x:c>
      <x:c r="F47" s="1406">
        <x:v>3</x:v>
      </x:c>
      <x:c r="G47" s="1406">
        <x:v>6</x:v>
      </x:c>
      <x:c r="H47" s="457" t="s">
        <x:v>590</x:v>
      </x:c>
      <x:c r="I47" s="457" t="s">
        <x:v>591</x:v>
      </x:c>
      <x:c r="J47" s="422">
        <x:v>500</x:v>
      </x:c>
      <x:c r="K47" s="704">
        <x:f>J47*$V$6</x:f>
        <x:v>21500</x:v>
      </x:c>
      <x:c r="L47" s="704">
        <x:f>K47*F47</x:f>
        <x:v>64500</x:v>
      </x:c>
      <x:c r="M47" s="603"/>
      <x:c r="N47" s="569"/>
      <x:c r="O47" s="457" t="s">
        <x:v>591</x:v>
      </x:c>
      <x:c r="P47" s="621">
        <x:f>SUM(L41,L47,L53,L59,L65,L77,L83,L89,L96,L98)+L71</x:f>
        <x:v>1905500</x:v>
      </x:c>
      <x:c r="Q47" s="621">
        <x:f>P103</x:f>
        <x:v>1290000</x:v>
      </x:c>
    </x:row>
    <x:row r="48" spans="2:17" s="164" customFormat="1" ht="14.45" customHeight="1">
      <x:c r="B48" s="1425"/>
      <x:c r="C48" s="1418"/>
      <x:c r="D48" s="1418"/>
      <x:c r="E48" s="1407"/>
      <x:c r="F48" s="1407"/>
      <x:c r="G48" s="1407"/>
      <x:c r="H48" s="460" t="s">
        <x:v>592</x:v>
      </x:c>
      <x:c r="I48" s="460" t="s">
        <x:v>593</x:v>
      </x:c>
      <x:c r="J48" s="469">
        <x:v>30</x:v>
      </x:c>
      <x:c r="K48" s="555">
        <x:f>J48*$V$6</x:f>
        <x:v>1290</x:v>
      </x:c>
      <x:c r="L48" s="555">
        <x:f>K48*F47*G47</x:f>
        <x:v>23220</x:v>
      </x:c>
      <x:c r="M48" s="474"/>
      <x:c r="N48" s="569"/>
      <x:c r="O48" s="460" t="s">
        <x:v>593</x:v>
      </x:c>
      <x:c r="P48" s="621">
        <x:f>SUM(L42,L48,L54,L60,L66,L78,L84,L90)+L72</x:f>
        <x:v>200460</x:v>
      </x:c>
      <x:c r="Q48" s="621">
        <x:f t="shared" ref="Q48:Q52" si="8">P104</x:f>
        <x:v>335400</x:v>
      </x:c>
    </x:row>
    <x:row r="49" spans="2:17" s="164" customFormat="1" ht="14.45" customHeight="1">
      <x:c r="B49" s="1425"/>
      <x:c r="C49" s="1418"/>
      <x:c r="D49" s="1418"/>
      <x:c r="E49" s="1407"/>
      <x:c r="F49" s="1407"/>
      <x:c r="G49" s="1407"/>
      <x:c r="H49" s="460" t="s">
        <x:v>592</x:v>
      </x:c>
      <x:c r="I49" s="460" t="s">
        <x:v>594</x:v>
      </x:c>
      <x:c r="J49" s="469">
        <x:v>100</x:v>
      </x:c>
      <x:c r="K49" s="555">
        <x:f>J49*$V$6</x:f>
        <x:v>4300</x:v>
      </x:c>
      <x:c r="L49" s="555">
        <x:f>K49*F47*G47</x:f>
        <x:v>77400</x:v>
      </x:c>
      <x:c r="M49" s="474"/>
      <x:c r="N49" s="569"/>
      <x:c r="O49" s="460" t="s">
        <x:v>594</x:v>
      </x:c>
      <x:c r="P49" s="621">
        <x:f>SUM(L43,L49,L55,L61,L67,L79,L85,L91)+L73</x:f>
        <x:v>805800</x:v>
      </x:c>
      <x:c r="Q49" s="621">
        <x:f t="shared" si="8"/>
        <x:v>838500</x:v>
      </x:c>
    </x:row>
    <x:row r="50" spans="2:17" s="164" customFormat="1" ht="14.45" customHeight="1">
      <x:c r="B50" s="1425"/>
      <x:c r="C50" s="1418"/>
      <x:c r="D50" s="1418"/>
      <x:c r="E50" s="1407"/>
      <x:c r="F50" s="1407"/>
      <x:c r="G50" s="1407"/>
      <x:c r="H50" s="460" t="s">
        <x:v>592</x:v>
      </x:c>
      <x:c r="I50" s="460" t="s">
        <x:v>595</x:v>
      </x:c>
      <x:c r="J50" s="469">
        <x:v>70</x:v>
      </x:c>
      <x:c r="K50" s="555">
        <x:f>J50*$V$6</x:f>
        <x:v>3010</x:v>
      </x:c>
      <x:c r="L50" s="555">
        <x:f>K50*G47</x:f>
        <x:v>18060</x:v>
      </x:c>
      <x:c r="M50" s="578" t="s">
        <x:v>596</x:v>
      </x:c>
      <x:c r="N50" s="569"/>
      <x:c r="O50" s="460" t="s">
        <x:v>595</x:v>
      </x:c>
      <x:c r="P50" s="621">
        <x:f>SUM(L44,L50,L56,L62,L68,L80,L86,L92)+L74</x:f>
        <x:v>262250</x:v>
      </x:c>
      <x:c r="Q50" s="621">
        <x:f t="shared" si="8"/>
        <x:v>223600</x:v>
      </x:c>
    </x:row>
    <x:row r="51" spans="2:17" s="164" customFormat="1" ht="14.45" customHeight="1">
      <x:c r="B51" s="1425"/>
      <x:c r="C51" s="1426"/>
      <x:c r="D51" s="1426"/>
      <x:c r="E51" s="1420"/>
      <x:c r="F51" s="1420"/>
      <x:c r="G51" s="1420"/>
      <x:c r="H51" s="460" t="s">
        <x:v>592</x:v>
      </x:c>
      <x:c r="I51" s="536" t="s">
        <x:v>597</x:v>
      </x:c>
      <x:c r="J51" s="745">
        <x:v>15</x:v>
      </x:c>
      <x:c r="K51" s="555">
        <x:v>525</x:v>
      </x:c>
      <x:c r="L51" s="756">
        <x:f>K51*F47*G47</x:f>
        <x:v>9450</x:v>
      </x:c>
      <x:c r="M51" s="504"/>
      <x:c r="N51" s="569"/>
      <x:c r="O51" s="536" t="s">
        <x:v>597</x:v>
      </x:c>
      <x:c r="P51" s="621">
        <x:f>SUM(L45,L51,L57,L63,L69,L81,L87,L93)+L75</x:f>
        <x:v>114720</x:v>
      </x:c>
      <x:c r="Q51" s="621">
        <x:f t="shared" si="8"/>
        <x:v>139750</x:v>
      </x:c>
    </x:row>
    <x:row r="52" spans="2:17" s="164" customFormat="1" ht="14.45" customHeight="1">
      <x:c r="B52" s="1425"/>
      <x:c r="C52" s="1419"/>
      <x:c r="D52" s="1419"/>
      <x:c r="E52" s="1409"/>
      <x:c r="F52" s="1409"/>
      <x:c r="G52" s="1409"/>
      <x:c r="H52" s="748" t="s">
        <x:v>598</x:v>
      </x:c>
      <x:c r="I52" s="805" t="s">
        <x:v>287</x:v>
      </x:c>
      <x:c r="J52" s="805" t="s">
        <x:v>287</x:v>
      </x:c>
      <x:c r="K52" s="611">
        <x:f>SUM(K47:K51)</x:f>
        <x:v>30625</x:v>
      </x:c>
      <x:c r="L52" s="476">
        <x:f>SUM(L47:L51)</x:f>
        <x:v>192630</x:v>
      </x:c>
      <x:c r="M52" s="645"/>
      <x:c r="N52" s="569"/>
      <x:c r="O52" s="748"/>
      <x:c r="P52" s="621">
        <x:f>SUM(P47:P51)</x:f>
        <x:v>3288730</x:v>
      </x:c>
      <x:c r="Q52" s="621">
        <x:f t="shared" si="8"/>
        <x:v>2827250</x:v>
      </x:c>
    </x:row>
    <x:row r="53" spans="2:17" s="164" customFormat="1" ht="14.45" customHeight="1">
      <x:c r="B53" s="1425" t="s">
        <x:v>630</x:v>
      </x:c>
      <x:c r="C53" s="1417" t="s">
        <x:v>637</x:v>
      </x:c>
      <x:c r="D53" s="1417" t="s">
        <x:v>633</x:v>
      </x:c>
      <x:c r="E53" s="1406" t="s">
        <x:v>636</x:v>
      </x:c>
      <x:c r="F53" s="1406">
        <x:v>2</x:v>
      </x:c>
      <x:c r="G53" s="1406">
        <x:v>10</x:v>
      </x:c>
      <x:c r="H53" s="457" t="s">
        <x:v>590</x:v>
      </x:c>
      <x:c r="I53" s="457" t="s">
        <x:v>591</x:v>
      </x:c>
      <x:c r="J53" s="422">
        <x:v>2500</x:v>
      </x:c>
      <x:c r="K53" s="704">
        <x:f>J53*V6</x:f>
        <x:v>107500</x:v>
      </x:c>
      <x:c r="L53" s="704">
        <x:f>K53*F53</x:f>
        <x:v>215000</x:v>
      </x:c>
      <x:c r="M53" s="603"/>
      <x:c r="N53" s="569"/>
      <x:c r="O53" s="569"/>
      <x:c r="P53" s="569"/>
      <x:c r="Q53" s="569"/>
    </x:row>
    <x:row r="54" spans="2:17" s="164" customFormat="1" ht="14.45" customHeight="1">
      <x:c r="B54" s="1425"/>
      <x:c r="C54" s="1418"/>
      <x:c r="D54" s="1418"/>
      <x:c r="E54" s="1407"/>
      <x:c r="F54" s="1407"/>
      <x:c r="G54" s="1407"/>
      <x:c r="H54" s="460" t="s">
        <x:v>592</x:v>
      </x:c>
      <x:c r="I54" s="460" t="s">
        <x:v>593</x:v>
      </x:c>
      <x:c r="J54" s="469">
        <x:v>30</x:v>
      </x:c>
      <x:c r="K54" s="555">
        <x:f>+J54*V6</x:f>
        <x:v>1290</x:v>
      </x:c>
      <x:c r="L54" s="555">
        <x:f>K54*F53*G53</x:f>
        <x:v>25800</x:v>
      </x:c>
      <x:c r="M54" s="474"/>
      <x:c r="N54" s="569"/>
      <x:c r="O54" s="569"/>
      <x:c r="P54" s="569"/>
      <x:c r="Q54" s="569"/>
    </x:row>
    <x:row r="55" spans="2:17" s="164" customFormat="1" ht="14.45" customHeight="1">
      <x:c r="B55" s="1425"/>
      <x:c r="C55" s="1418"/>
      <x:c r="D55" s="1418"/>
      <x:c r="E55" s="1407"/>
      <x:c r="F55" s="1407"/>
      <x:c r="G55" s="1407"/>
      <x:c r="H55" s="460" t="s">
        <x:v>592</x:v>
      </x:c>
      <x:c r="I55" s="460" t="s">
        <x:v>594</x:v>
      </x:c>
      <x:c r="J55" s="469">
        <x:v>100</x:v>
      </x:c>
      <x:c r="K55" s="555">
        <x:f>+J55*V6</x:f>
        <x:v>4300</x:v>
      </x:c>
      <x:c r="L55" s="555">
        <x:f>K55*F53*G53</x:f>
        <x:v>86000</x:v>
      </x:c>
      <x:c r="M55" s="474"/>
      <x:c r="N55" s="569"/>
      <x:c r="O55" s="569"/>
      <x:c r="P55" s="569"/>
      <x:c r="Q55" s="569"/>
    </x:row>
    <x:row r="56" spans="2:17" s="164" customFormat="1" ht="14.45" customHeight="1">
      <x:c r="B56" s="1425"/>
      <x:c r="C56" s="1418"/>
      <x:c r="D56" s="1418"/>
      <x:c r="E56" s="1407"/>
      <x:c r="F56" s="1407"/>
      <x:c r="G56" s="1407"/>
      <x:c r="H56" s="460" t="s">
        <x:v>592</x:v>
      </x:c>
      <x:c r="I56" s="460" t="s">
        <x:v>595</x:v>
      </x:c>
      <x:c r="J56" s="469">
        <x:v>100</x:v>
      </x:c>
      <x:c r="K56" s="555">
        <x:f>+J56*V6</x:f>
        <x:v>4300</x:v>
      </x:c>
      <x:c r="L56" s="555">
        <x:f>K56*G53</x:f>
        <x:v>43000</x:v>
      </x:c>
      <x:c r="M56" s="578" t="s">
        <x:v>596</x:v>
      </x:c>
      <x:c r="N56" s="569"/>
      <x:c r="O56" s="569"/>
      <x:c r="P56" s="569"/>
      <x:c r="Q56" s="569"/>
    </x:row>
    <x:row r="57" spans="2:17" s="164" customFormat="1" ht="14.45" customHeight="1">
      <x:c r="B57" s="1425"/>
      <x:c r="C57" s="1426"/>
      <x:c r="D57" s="1426"/>
      <x:c r="E57" s="1420"/>
      <x:c r="F57" s="1420"/>
      <x:c r="G57" s="1420"/>
      <x:c r="H57" s="460" t="s">
        <x:v>592</x:v>
      </x:c>
      <x:c r="I57" s="536" t="s">
        <x:v>597</x:v>
      </x:c>
      <x:c r="J57" s="713">
        <x:v>15</x:v>
      </x:c>
      <x:c r="K57" s="555">
        <x:f>+J57*V7</x:f>
        <x:v>765</x:v>
      </x:c>
      <x:c r="L57" s="756">
        <x:f>K57*F53*G53</x:f>
        <x:v>15300</x:v>
      </x:c>
      <x:c r="M57" s="504"/>
      <x:c r="N57" s="569"/>
      <x:c r="O57" s="569"/>
      <x:c r="P57" s="569"/>
      <x:c r="Q57" s="569"/>
    </x:row>
    <x:row r="58" spans="2:17" s="164" customFormat="1" ht="14.45" customHeight="1">
      <x:c r="B58" s="1425"/>
      <x:c r="C58" s="1419"/>
      <x:c r="D58" s="1419"/>
      <x:c r="E58" s="1409"/>
      <x:c r="F58" s="1409"/>
      <x:c r="G58" s="1409"/>
      <x:c r="H58" s="748" t="s">
        <x:v>598</x:v>
      </x:c>
      <x:c r="I58" s="805" t="s">
        <x:v>287</x:v>
      </x:c>
      <x:c r="J58" s="805" t="s">
        <x:v>287</x:v>
      </x:c>
      <x:c r="K58" s="611">
        <x:f>SUM(K53:K57)</x:f>
        <x:v>118155</x:v>
      </x:c>
      <x:c r="L58" s="476">
        <x:f>SUM(L53:L57)</x:f>
        <x:v>385100</x:v>
      </x:c>
      <x:c r="M58" s="645"/>
      <x:c r="N58" s="569"/>
      <x:c r="O58" s="569"/>
      <x:c r="P58" s="569"/>
      <x:c r="Q58" s="569"/>
    </x:row>
    <x:row r="59" spans="2:17" s="164" customFormat="1" ht="14.45" customHeight="1">
      <x:c r="B59" s="1417" t="s">
        <x:v>631</x:v>
      </x:c>
      <x:c r="C59" s="1417" t="s">
        <x:v>632</x:v>
      </x:c>
      <x:c r="D59" s="1417" t="s">
        <x:v>633</x:v>
      </x:c>
      <x:c r="E59" s="1406" t="s">
        <x:v>638</x:v>
      </x:c>
      <x:c r="F59" s="1406">
        <x:v>2</x:v>
      </x:c>
      <x:c r="G59" s="1406">
        <x:v>10</x:v>
      </x:c>
      <x:c r="H59" s="457" t="s">
        <x:v>590</x:v>
      </x:c>
      <x:c r="I59" s="457" t="s">
        <x:v>591</x:v>
      </x:c>
      <x:c r="J59" s="422">
        <x:v>2500</x:v>
      </x:c>
      <x:c r="K59" s="704">
        <x:f>J59*$V$6</x:f>
        <x:v>107500</x:v>
      </x:c>
      <x:c r="L59" s="704">
        <x:f>K59*F59</x:f>
        <x:v>215000</x:v>
      </x:c>
      <x:c r="M59" s="603"/>
      <x:c r="N59" s="624"/>
      <x:c r="O59" s="726"/>
      <x:c r="P59" s="569"/>
      <x:c r="Q59" s="569"/>
    </x:row>
    <x:row r="60" spans="2:17" s="164" customFormat="1" ht="14.45" customHeight="1">
      <x:c r="B60" s="1418"/>
      <x:c r="C60" s="1418"/>
      <x:c r="D60" s="1418"/>
      <x:c r="E60" s="1407"/>
      <x:c r="F60" s="1407"/>
      <x:c r="G60" s="1407"/>
      <x:c r="H60" s="460" t="s">
        <x:v>592</x:v>
      </x:c>
      <x:c r="I60" s="460" t="s">
        <x:v>593</x:v>
      </x:c>
      <x:c r="J60" s="469">
        <x:v>30</x:v>
      </x:c>
      <x:c r="K60" s="555">
        <x:f>J60*$V$6</x:f>
        <x:v>1290</x:v>
      </x:c>
      <x:c r="L60" s="555">
        <x:f>K60*F59*G59</x:f>
        <x:v>25800</x:v>
      </x:c>
      <x:c r="M60" s="474"/>
      <x:c r="N60" s="569"/>
      <x:c r="O60" s="569"/>
      <x:c r="P60" s="382"/>
      <x:c r="Q60" s="569"/>
    </x:row>
    <x:row r="61" spans="2:17" s="164" customFormat="1" ht="14.45" customHeight="1">
      <x:c r="B61" s="1418"/>
      <x:c r="C61" s="1418"/>
      <x:c r="D61" s="1418"/>
      <x:c r="E61" s="1407"/>
      <x:c r="F61" s="1407"/>
      <x:c r="G61" s="1407"/>
      <x:c r="H61" s="460" t="s">
        <x:v>592</x:v>
      </x:c>
      <x:c r="I61" s="460" t="s">
        <x:v>594</x:v>
      </x:c>
      <x:c r="J61" s="469">
        <x:v>180</x:v>
      </x:c>
      <x:c r="K61" s="555">
        <x:f>J61*$V$6</x:f>
        <x:v>7740</x:v>
      </x:c>
      <x:c r="L61" s="555">
        <x:f>K61*F59*G59</x:f>
        <x:v>154800</x:v>
      </x:c>
      <x:c r="M61" s="474"/>
      <x:c r="N61" s="569"/>
      <x:c r="O61" s="569"/>
      <x:c r="P61" s="569"/>
      <x:c r="Q61" s="569"/>
    </x:row>
    <x:row r="62" spans="2:17" s="164" customFormat="1" ht="14.45" customHeight="1">
      <x:c r="B62" s="1418"/>
      <x:c r="C62" s="1418"/>
      <x:c r="D62" s="1418"/>
      <x:c r="E62" s="1407"/>
      <x:c r="F62" s="1407"/>
      <x:c r="G62" s="1407"/>
      <x:c r="H62" s="460" t="s">
        <x:v>592</x:v>
      </x:c>
      <x:c r="I62" s="460" t="s">
        <x:v>595</x:v>
      </x:c>
      <x:c r="J62" s="469">
        <x:v>100</x:v>
      </x:c>
      <x:c r="K62" s="555">
        <x:f>J62*$V$6</x:f>
        <x:v>4300</x:v>
      </x:c>
      <x:c r="L62" s="555">
        <x:f>K62*G59</x:f>
        <x:v>43000</x:v>
      </x:c>
      <x:c r="M62" s="578" t="s">
        <x:v>596</x:v>
      </x:c>
      <x:c r="N62" s="569"/>
      <x:c r="O62" s="569"/>
      <x:c r="P62" s="569"/>
      <x:c r="Q62" s="569"/>
    </x:row>
    <x:row r="63" spans="2:17" s="164" customFormat="1" ht="14.45" customHeight="1">
      <x:c r="B63" s="1426"/>
      <x:c r="C63" s="1426"/>
      <x:c r="D63" s="1426"/>
      <x:c r="E63" s="1420"/>
      <x:c r="F63" s="1420"/>
      <x:c r="G63" s="1420"/>
      <x:c r="H63" s="460" t="s">
        <x:v>592</x:v>
      </x:c>
      <x:c r="I63" s="536" t="s">
        <x:v>597</x:v>
      </x:c>
      <x:c r="J63" s="713">
        <x:v>15</x:v>
      </x:c>
      <x:c r="K63" s="555">
        <x:f>J63*$V$7</x:f>
        <x:v>765</x:v>
      </x:c>
      <x:c r="L63" s="756">
        <x:f>K63*F59*G59</x:f>
        <x:v>15300</x:v>
      </x:c>
      <x:c r="M63" s="504"/>
      <x:c r="N63" s="569"/>
      <x:c r="O63" s="569"/>
      <x:c r="P63" s="569"/>
      <x:c r="Q63" s="569"/>
    </x:row>
    <x:row r="64" spans="2:17" s="164" customFormat="1" ht="14.45" customHeight="1">
      <x:c r="B64" s="1419"/>
      <x:c r="C64" s="1419"/>
      <x:c r="D64" s="1419"/>
      <x:c r="E64" s="1409"/>
      <x:c r="F64" s="1409"/>
      <x:c r="G64" s="1409"/>
      <x:c r="H64" s="748" t="s">
        <x:v>598</x:v>
      </x:c>
      <x:c r="I64" s="805" t="s">
        <x:v>287</x:v>
      </x:c>
      <x:c r="J64" s="805" t="s">
        <x:v>287</x:v>
      </x:c>
      <x:c r="K64" s="611">
        <x:f>SUM(K59:K63)</x:f>
        <x:v>121595</x:v>
      </x:c>
      <x:c r="L64" s="476">
        <x:f>SUM(L59:L63)</x:f>
        <x:v>453900</x:v>
      </x:c>
      <x:c r="M64" s="645"/>
      <x:c r="N64" s="569"/>
      <x:c r="O64" s="569"/>
      <x:c r="P64" s="569"/>
      <x:c r="Q64" s="569"/>
    </x:row>
    <x:row r="65" spans="2:13" s="164" customFormat="1" ht="14.45" customHeight="1">
      <x:c r="B65" s="1425" t="s">
        <x:v>644</x:v>
      </x:c>
      <x:c r="C65" s="1417" t="s">
        <x:v>645</x:v>
      </x:c>
      <x:c r="D65" s="1417" t="s">
        <x:v>640</x:v>
      </x:c>
      <x:c r="E65" s="1406" t="s">
        <x:v>646</x:v>
      </x:c>
      <x:c r="F65" s="1406">
        <x:v>3</x:v>
      </x:c>
      <x:c r="G65" s="1406">
        <x:v>6</x:v>
      </x:c>
      <x:c r="H65" s="457" t="s">
        <x:v>590</x:v>
      </x:c>
      <x:c r="I65" s="457" t="s">
        <x:v>591</x:v>
      </x:c>
      <x:c r="J65" s="422">
        <x:v>500</x:v>
      </x:c>
      <x:c r="K65" s="704">
        <x:f>J65*$V$6</x:f>
        <x:v>21500</x:v>
      </x:c>
      <x:c r="L65" s="704">
        <x:f>K65*F65</x:f>
        <x:v>64500</x:v>
      </x:c>
      <x:c r="M65" s="603"/>
    </x:row>
    <x:row r="66" spans="2:13" s="164" customFormat="1" ht="14.45" customHeight="1">
      <x:c r="B66" s="1425"/>
      <x:c r="C66" s="1418"/>
      <x:c r="D66" s="1418"/>
      <x:c r="E66" s="1407"/>
      <x:c r="F66" s="1407"/>
      <x:c r="G66" s="1407"/>
      <x:c r="H66" s="460" t="s">
        <x:v>592</x:v>
      </x:c>
      <x:c r="I66" s="460" t="s">
        <x:v>593</x:v>
      </x:c>
      <x:c r="J66" s="469">
        <x:v>30</x:v>
      </x:c>
      <x:c r="K66" s="555">
        <x:f>J66*$V$6</x:f>
        <x:v>1290</x:v>
      </x:c>
      <x:c r="L66" s="555">
        <x:f>K66*F65*G65</x:f>
        <x:v>23220</x:v>
      </x:c>
      <x:c r="M66" s="474"/>
    </x:row>
    <x:row r="67" spans="2:13" s="164" customFormat="1" ht="14.45" customHeight="1">
      <x:c r="B67" s="1425"/>
      <x:c r="C67" s="1418"/>
      <x:c r="D67" s="1418"/>
      <x:c r="E67" s="1407"/>
      <x:c r="F67" s="1407"/>
      <x:c r="G67" s="1407"/>
      <x:c r="H67" s="460" t="s">
        <x:v>592</x:v>
      </x:c>
      <x:c r="I67" s="460" t="s">
        <x:v>594</x:v>
      </x:c>
      <x:c r="J67" s="469">
        <x:v>100</x:v>
      </x:c>
      <x:c r="K67" s="555">
        <x:f>J67*$V$6</x:f>
        <x:v>4300</x:v>
      </x:c>
      <x:c r="L67" s="555">
        <x:f>K67*F65*G65</x:f>
        <x:v>77400</x:v>
      </x:c>
      <x:c r="M67" s="474"/>
    </x:row>
    <x:row r="68" spans="2:13" s="164" customFormat="1" ht="14.45" customHeight="1">
      <x:c r="B68" s="1425"/>
      <x:c r="C68" s="1418"/>
      <x:c r="D68" s="1418"/>
      <x:c r="E68" s="1407"/>
      <x:c r="F68" s="1407"/>
      <x:c r="G68" s="1407"/>
      <x:c r="H68" s="460" t="s">
        <x:v>592</x:v>
      </x:c>
      <x:c r="I68" s="460" t="s">
        <x:v>595</x:v>
      </x:c>
      <x:c r="J68" s="469">
        <x:v>70</x:v>
      </x:c>
      <x:c r="K68" s="555">
        <x:f>J68*$V$6</x:f>
        <x:v>3010</x:v>
      </x:c>
      <x:c r="L68" s="555">
        <x:f>K68*G65</x:f>
        <x:v>18060</x:v>
      </x:c>
      <x:c r="M68" s="578" t="s">
        <x:v>596</x:v>
      </x:c>
    </x:row>
    <x:row r="69" spans="2:13" s="164" customFormat="1" ht="14.45" customHeight="1">
      <x:c r="B69" s="1425"/>
      <x:c r="C69" s="1426"/>
      <x:c r="D69" s="1426"/>
      <x:c r="E69" s="1420"/>
      <x:c r="F69" s="1420"/>
      <x:c r="G69" s="1420"/>
      <x:c r="H69" s="460" t="s">
        <x:v>592</x:v>
      </x:c>
      <x:c r="I69" s="536" t="s">
        <x:v>597</x:v>
      </x:c>
      <x:c r="J69" s="713">
        <x:v>15</x:v>
      </x:c>
      <x:c r="K69" s="555">
        <x:f>J69*$V$7</x:f>
        <x:v>765</x:v>
      </x:c>
      <x:c r="L69" s="756">
        <x:f>K69*F65*G65</x:f>
        <x:v>13770</x:v>
      </x:c>
      <x:c r="M69" s="504"/>
    </x:row>
    <x:row r="70" spans="2:13" s="164" customFormat="1" ht="14.45" customHeight="1">
      <x:c r="B70" s="1425"/>
      <x:c r="C70" s="1419"/>
      <x:c r="D70" s="1419"/>
      <x:c r="E70" s="1409"/>
      <x:c r="F70" s="1409"/>
      <x:c r="G70" s="1409"/>
      <x:c r="H70" s="748" t="s">
        <x:v>598</x:v>
      </x:c>
      <x:c r="I70" s="748"/>
      <x:c r="J70" s="805" t="s">
        <x:v>287</x:v>
      </x:c>
      <x:c r="K70" s="611">
        <x:f>SUM(K65:K69)</x:f>
        <x:v>30865</x:v>
      </x:c>
      <x:c r="L70" s="476">
        <x:f>SUM(L65:L69)</x:f>
        <x:v>196950</x:v>
      </x:c>
      <x:c r="M70" s="645"/>
    </x:row>
    <x:row r="71" spans="2:13" s="164" customFormat="1" ht="14.45" customHeight="1">
      <x:c r="B71" s="1425" t="s">
        <x:v>644</x:v>
      </x:c>
      <x:c r="C71" s="1417" t="s">
        <x:v>1085</x:v>
      </x:c>
      <x:c r="D71" s="1417" t="s">
        <x:v>1086</x:v>
      </x:c>
      <x:c r="E71" s="1406" t="s">
        <x:v>1087</x:v>
      </x:c>
      <x:c r="F71" s="1406">
        <x:v>2</x:v>
      </x:c>
      <x:c r="G71" s="1406">
        <x:v>8</x:v>
      </x:c>
      <x:c r="H71" s="457" t="s">
        <x:v>590</x:v>
      </x:c>
      <x:c r="I71" s="457" t="s">
        <x:v>591</x:v>
      </x:c>
      <x:c r="J71" s="422">
        <x:v>500</x:v>
      </x:c>
      <x:c r="K71" s="704">
        <x:f>J71*$V$6</x:f>
        <x:v>21500</x:v>
      </x:c>
      <x:c r="L71" s="704">
        <x:f>K71*F71</x:f>
        <x:v>43000</x:v>
      </x:c>
      <x:c r="M71" s="603"/>
    </x:row>
    <x:row r="72" spans="2:13" s="164" customFormat="1" ht="14.45" customHeight="1">
      <x:c r="B72" s="1425"/>
      <x:c r="C72" s="1418"/>
      <x:c r="D72" s="1418"/>
      <x:c r="E72" s="1407"/>
      <x:c r="F72" s="1407"/>
      <x:c r="G72" s="1407"/>
      <x:c r="H72" s="460" t="s">
        <x:v>592</x:v>
      </x:c>
      <x:c r="I72" s="460" t="s">
        <x:v>593</x:v>
      </x:c>
      <x:c r="J72" s="469">
        <x:v>30</x:v>
      </x:c>
      <x:c r="K72" s="555">
        <x:f>J72*$V$6</x:f>
        <x:v>1290</x:v>
      </x:c>
      <x:c r="L72" s="555">
        <x:f>K72*F71*G71</x:f>
        <x:v>20640</x:v>
      </x:c>
      <x:c r="M72" s="474"/>
    </x:row>
    <x:row r="73" spans="2:13" s="164" customFormat="1" ht="14.45" customHeight="1">
      <x:c r="B73" s="1425"/>
      <x:c r="C73" s="1418"/>
      <x:c r="D73" s="1418"/>
      <x:c r="E73" s="1407"/>
      <x:c r="F73" s="1407"/>
      <x:c r="G73" s="1407"/>
      <x:c r="H73" s="460" t="s">
        <x:v>592</x:v>
      </x:c>
      <x:c r="I73" s="460" t="s">
        <x:v>594</x:v>
      </x:c>
      <x:c r="J73" s="469">
        <x:v>100</x:v>
      </x:c>
      <x:c r="K73" s="555">
        <x:f>J73*$V$6</x:f>
        <x:v>4300</x:v>
      </x:c>
      <x:c r="L73" s="555">
        <x:f>K73*F71*G71</x:f>
        <x:v>68800</x:v>
      </x:c>
      <x:c r="M73" s="474"/>
    </x:row>
    <x:row r="74" spans="2:13" s="164" customFormat="1" ht="14.45" customHeight="1">
      <x:c r="B74" s="1425"/>
      <x:c r="C74" s="1418"/>
      <x:c r="D74" s="1418"/>
      <x:c r="E74" s="1407"/>
      <x:c r="F74" s="1407"/>
      <x:c r="G74" s="1407"/>
      <x:c r="H74" s="460" t="s">
        <x:v>592</x:v>
      </x:c>
      <x:c r="I74" s="460" t="s">
        <x:v>595</x:v>
      </x:c>
      <x:c r="J74" s="469">
        <x:v>70</x:v>
      </x:c>
      <x:c r="K74" s="555">
        <x:f>J74*$V$6</x:f>
        <x:v>3010</x:v>
      </x:c>
      <x:c r="L74" s="555">
        <x:f>K74*G71</x:f>
        <x:v>24080</x:v>
      </x:c>
      <x:c r="M74" s="578" t="s">
        <x:v>596</x:v>
      </x:c>
    </x:row>
    <x:row r="75" spans="2:13" s="164" customFormat="1" ht="14.45" customHeight="1">
      <x:c r="B75" s="1425"/>
      <x:c r="C75" s="1426"/>
      <x:c r="D75" s="1426"/>
      <x:c r="E75" s="1420"/>
      <x:c r="F75" s="1420"/>
      <x:c r="G75" s="1420"/>
      <x:c r="H75" s="460" t="s">
        <x:v>592</x:v>
      </x:c>
      <x:c r="I75" s="536" t="s">
        <x:v>597</x:v>
      </x:c>
      <x:c r="J75" s="713">
        <x:v>15</x:v>
      </x:c>
      <x:c r="K75" s="555">
        <x:f>J75*$V$7</x:f>
        <x:v>765</x:v>
      </x:c>
      <x:c r="L75" s="756">
        <x:f>K75*F71*G71</x:f>
        <x:v>12240</x:v>
      </x:c>
      <x:c r="M75" s="504"/>
    </x:row>
    <x:row r="76" spans="2:13" s="164" customFormat="1" ht="14.45" customHeight="1">
      <x:c r="B76" s="1425"/>
      <x:c r="C76" s="1419"/>
      <x:c r="D76" s="1419"/>
      <x:c r="E76" s="1409"/>
      <x:c r="F76" s="1409"/>
      <x:c r="G76" s="1409"/>
      <x:c r="H76" s="748" t="s">
        <x:v>598</x:v>
      </x:c>
      <x:c r="I76" s="748"/>
      <x:c r="J76" s="805" t="s">
        <x:v>287</x:v>
      </x:c>
      <x:c r="K76" s="611">
        <x:f>SUM(K71:K75)</x:f>
        <x:v>30865</x:v>
      </x:c>
      <x:c r="L76" s="476">
        <x:f>SUM(L71:L75)</x:f>
        <x:v>168760</x:v>
      </x:c>
      <x:c r="M76" s="645"/>
    </x:row>
    <x:row r="77" spans="2:13" s="164" customFormat="1" ht="14.45" customHeight="1">
      <x:c r="B77" s="1425" t="s">
        <x:v>644</x:v>
      </x:c>
      <x:c r="C77" s="1417" t="s">
        <x:v>641</x:v>
      </x:c>
      <x:c r="D77" s="1417" t="s">
        <x:v>640</x:v>
      </x:c>
      <x:c r="E77" s="1406" t="s">
        <x:v>652</x:v>
      </x:c>
      <x:c r="F77" s="1406">
        <x:v>3</x:v>
      </x:c>
      <x:c r="G77" s="1406">
        <x:v>6</x:v>
      </x:c>
      <x:c r="H77" s="457" t="s">
        <x:v>590</x:v>
      </x:c>
      <x:c r="I77" s="457" t="s">
        <x:v>591</x:v>
      </x:c>
      <x:c r="J77" s="422">
        <x:v>500</x:v>
      </x:c>
      <x:c r="K77" s="704">
        <x:f>J77*V6</x:f>
        <x:v>21500</x:v>
      </x:c>
      <x:c r="L77" s="704">
        <x:f>K77*F77</x:f>
        <x:v>64500</x:v>
      </x:c>
      <x:c r="M77" s="603"/>
    </x:row>
    <x:row r="78" spans="2:13" s="164" customFormat="1" ht="14.45" customHeight="1">
      <x:c r="B78" s="1425"/>
      <x:c r="C78" s="1418"/>
      <x:c r="D78" s="1418"/>
      <x:c r="E78" s="1407"/>
      <x:c r="F78" s="1407"/>
      <x:c r="G78" s="1407"/>
      <x:c r="H78" s="460" t="s">
        <x:v>592</x:v>
      </x:c>
      <x:c r="I78" s="460" t="s">
        <x:v>593</x:v>
      </x:c>
      <x:c r="J78" s="469">
        <x:v>30</x:v>
      </x:c>
      <x:c r="K78" s="555">
        <x:f>+J78*$V$6</x:f>
        <x:v>1290</x:v>
      </x:c>
      <x:c r="L78" s="555">
        <x:f>K78*F77*G77</x:f>
        <x:v>23220</x:v>
      </x:c>
      <x:c r="M78" s="474"/>
    </x:row>
    <x:row r="79" spans="2:13" s="164" customFormat="1" ht="14.45" customHeight="1">
      <x:c r="B79" s="1425"/>
      <x:c r="C79" s="1418"/>
      <x:c r="D79" s="1418"/>
      <x:c r="E79" s="1407"/>
      <x:c r="F79" s="1407"/>
      <x:c r="G79" s="1407"/>
      <x:c r="H79" s="460" t="s">
        <x:v>592</x:v>
      </x:c>
      <x:c r="I79" s="460" t="s">
        <x:v>594</x:v>
      </x:c>
      <x:c r="J79" s="469">
        <x:v>100</x:v>
      </x:c>
      <x:c r="K79" s="555">
        <x:f>+J79*$V$6</x:f>
        <x:v>4300</x:v>
      </x:c>
      <x:c r="L79" s="555">
        <x:f>K79*F77*G77</x:f>
        <x:v>77400</x:v>
      </x:c>
      <x:c r="M79" s="474"/>
    </x:row>
    <x:row r="80" spans="2:13" s="164" customFormat="1" ht="14.45" customHeight="1">
      <x:c r="B80" s="1425"/>
      <x:c r="C80" s="1418"/>
      <x:c r="D80" s="1418"/>
      <x:c r="E80" s="1407"/>
      <x:c r="F80" s="1407"/>
      <x:c r="G80" s="1407"/>
      <x:c r="H80" s="460" t="s">
        <x:v>592</x:v>
      </x:c>
      <x:c r="I80" s="460" t="s">
        <x:v>595</x:v>
      </x:c>
      <x:c r="J80" s="469">
        <x:v>100</x:v>
      </x:c>
      <x:c r="K80" s="555">
        <x:f>+J80*$V$6</x:f>
        <x:v>4300</x:v>
      </x:c>
      <x:c r="L80" s="555">
        <x:f>K80*G77</x:f>
        <x:v>25800</x:v>
      </x:c>
      <x:c r="M80" s="578" t="s">
        <x:v>596</x:v>
      </x:c>
    </x:row>
    <x:row r="81" spans="2:13" s="164" customFormat="1" ht="14.45" customHeight="1">
      <x:c r="B81" s="1425"/>
      <x:c r="C81" s="1426"/>
      <x:c r="D81" s="1426"/>
      <x:c r="E81" s="1420"/>
      <x:c r="F81" s="1420"/>
      <x:c r="G81" s="1420"/>
      <x:c r="H81" s="460" t="s">
        <x:v>592</x:v>
      </x:c>
      <x:c r="I81" s="536" t="s">
        <x:v>597</x:v>
      </x:c>
      <x:c r="J81" s="713">
        <x:v>15</x:v>
      </x:c>
      <x:c r="K81" s="555">
        <x:f>J81*$V$7</x:f>
        <x:v>765</x:v>
      </x:c>
      <x:c r="L81" s="756">
        <x:v>15300</x:v>
      </x:c>
      <x:c r="M81" s="504"/>
    </x:row>
    <x:row r="82" spans="2:13" s="164" customFormat="1" ht="14.45" customHeight="1">
      <x:c r="B82" s="1425"/>
      <x:c r="C82" s="1419"/>
      <x:c r="D82" s="1419"/>
      <x:c r="E82" s="1409"/>
      <x:c r="F82" s="1409"/>
      <x:c r="G82" s="1409"/>
      <x:c r="H82" s="748" t="s">
        <x:v>598</x:v>
      </x:c>
      <x:c r="I82" s="748"/>
      <x:c r="J82" s="805" t="s">
        <x:v>287</x:v>
      </x:c>
      <x:c r="K82" s="611">
        <x:f>SUM(K77:K81)</x:f>
        <x:v>32155</x:v>
      </x:c>
      <x:c r="L82" s="476">
        <x:f>SUM(L77:L81)</x:f>
        <x:v>206220</x:v>
      </x:c>
      <x:c r="M82" s="645"/>
    </x:row>
    <x:row r="83" spans="2:13" s="164" customFormat="1" ht="14.45" customHeight="1">
      <x:c r="B83" s="1417" t="s">
        <x:v>631</x:v>
      </x:c>
      <x:c r="C83" s="1417" t="s">
        <x:v>632</x:v>
      </x:c>
      <x:c r="D83" s="1417" t="s">
        <x:v>633</x:v>
      </x:c>
      <x:c r="E83" s="1406" t="s">
        <x:v>654</x:v>
      </x:c>
      <x:c r="F83" s="1406">
        <x:v>2</x:v>
      </x:c>
      <x:c r="G83" s="1406">
        <x:v>10</x:v>
      </x:c>
      <x:c r="H83" s="457" t="s">
        <x:v>590</x:v>
      </x:c>
      <x:c r="I83" s="457" t="s">
        <x:v>591</x:v>
      </x:c>
      <x:c r="J83" s="422">
        <x:v>2500</x:v>
      </x:c>
      <x:c r="K83" s="704">
        <x:f>J83*$V$6</x:f>
        <x:v>107500</x:v>
      </x:c>
      <x:c r="L83" s="704">
        <x:f>K83*F83</x:f>
        <x:v>215000</x:v>
      </x:c>
      <x:c r="M83" s="603"/>
    </x:row>
    <x:row r="84" spans="2:13" s="164" customFormat="1" ht="14.45" customHeight="1">
      <x:c r="B84" s="1418"/>
      <x:c r="C84" s="1418"/>
      <x:c r="D84" s="1418"/>
      <x:c r="E84" s="1407"/>
      <x:c r="F84" s="1407"/>
      <x:c r="G84" s="1407"/>
      <x:c r="H84" s="460" t="s">
        <x:v>592</x:v>
      </x:c>
      <x:c r="I84" s="460" t="s">
        <x:v>593</x:v>
      </x:c>
      <x:c r="J84" s="469">
        <x:v>30</x:v>
      </x:c>
      <x:c r="K84" s="555">
        <x:f>J84*$V$6</x:f>
        <x:v>1290</x:v>
      </x:c>
      <x:c r="L84" s="555">
        <x:f>K84*F83*G83</x:f>
        <x:v>25800</x:v>
      </x:c>
      <x:c r="M84" s="474"/>
    </x:row>
    <x:row r="85" spans="2:13" s="164" customFormat="1" ht="14.45" customHeight="1">
      <x:c r="B85" s="1418"/>
      <x:c r="C85" s="1418"/>
      <x:c r="D85" s="1418"/>
      <x:c r="E85" s="1407"/>
      <x:c r="F85" s="1407"/>
      <x:c r="G85" s="1407"/>
      <x:c r="H85" s="460" t="s">
        <x:v>592</x:v>
      </x:c>
      <x:c r="I85" s="460" t="s">
        <x:v>594</x:v>
      </x:c>
      <x:c r="J85" s="469">
        <x:v>180</x:v>
      </x:c>
      <x:c r="K85" s="555">
        <x:f>J85*$V$6</x:f>
        <x:v>7740</x:v>
      </x:c>
      <x:c r="L85" s="555">
        <x:f>K85*F83*G83</x:f>
        <x:v>154800</x:v>
      </x:c>
      <x:c r="M85" s="474"/>
    </x:row>
    <x:row r="86" spans="2:13" s="164" customFormat="1" ht="14.45" customHeight="1">
      <x:c r="B86" s="1418"/>
      <x:c r="C86" s="1418"/>
      <x:c r="D86" s="1418"/>
      <x:c r="E86" s="1407"/>
      <x:c r="F86" s="1407"/>
      <x:c r="G86" s="1407"/>
      <x:c r="H86" s="460" t="s">
        <x:v>592</x:v>
      </x:c>
      <x:c r="I86" s="460" t="s">
        <x:v>595</x:v>
      </x:c>
      <x:c r="J86" s="469">
        <x:v>100</x:v>
      </x:c>
      <x:c r="K86" s="555">
        <x:f>J86*$V$6</x:f>
        <x:v>4300</x:v>
      </x:c>
      <x:c r="L86" s="555">
        <x:f>K86*G83</x:f>
        <x:v>43000</x:v>
      </x:c>
      <x:c r="M86" s="578" t="s">
        <x:v>596</x:v>
      </x:c>
    </x:row>
    <x:row r="87" spans="2:13" s="164" customFormat="1" ht="14.45" customHeight="1">
      <x:c r="B87" s="1426"/>
      <x:c r="C87" s="1426"/>
      <x:c r="D87" s="1426"/>
      <x:c r="E87" s="1420"/>
      <x:c r="F87" s="1420"/>
      <x:c r="G87" s="1420"/>
      <x:c r="H87" s="460" t="s">
        <x:v>592</x:v>
      </x:c>
      <x:c r="I87" s="536" t="s">
        <x:v>597</x:v>
      </x:c>
      <x:c r="J87" s="713">
        <x:v>15</x:v>
      </x:c>
      <x:c r="K87" s="555">
        <x:f>J87*$V$7</x:f>
        <x:v>765</x:v>
      </x:c>
      <x:c r="L87" s="756">
        <x:f>K87*F83*G83</x:f>
        <x:v>15300</x:v>
      </x:c>
      <x:c r="M87" s="504"/>
    </x:row>
    <x:row r="88" spans="2:13" s="164" customFormat="1" ht="14.45" customHeight="1">
      <x:c r="B88" s="1419"/>
      <x:c r="C88" s="1419"/>
      <x:c r="D88" s="1419"/>
      <x:c r="E88" s="1409"/>
      <x:c r="F88" s="1409"/>
      <x:c r="G88" s="1409"/>
      <x:c r="H88" s="748" t="s">
        <x:v>598</x:v>
      </x:c>
      <x:c r="I88" s="748"/>
      <x:c r="J88" s="805" t="s">
        <x:v>287</x:v>
      </x:c>
      <x:c r="K88" s="611">
        <x:f>SUM(K83:K87)</x:f>
        <x:v>121595</x:v>
      </x:c>
      <x:c r="L88" s="476">
        <x:f>SUM(L83:L87)</x:f>
        <x:v>453900</x:v>
      </x:c>
      <x:c r="M88" s="645"/>
    </x:row>
    <x:row r="89" spans="2:13" s="164" customFormat="1" ht="16.149999999999999" customHeight="1">
      <x:c r="B89" s="1417" t="s">
        <x:v>655</x:v>
      </x:c>
      <x:c r="C89" s="1417" t="s">
        <x:v>991</x:v>
      </x:c>
      <x:c r="D89" s="1417" t="s">
        <x:v>656</x:v>
      </x:c>
      <x:c r="E89" s="1406" t="s">
        <x:v>657</x:v>
      </x:c>
      <x:c r="F89" s="1406">
        <x:v>2</x:v>
      </x:c>
      <x:c r="G89" s="1406">
        <x:v>7</x:v>
      </x:c>
      <x:c r="H89" s="457" t="s">
        <x:v>590</x:v>
      </x:c>
      <x:c r="I89" s="457" t="s">
        <x:v>591</x:v>
      </x:c>
      <x:c r="J89" s="422">
        <x:v>2500</x:v>
      </x:c>
      <x:c r="K89" s="704">
        <x:f>J89*$V$6</x:f>
        <x:v>107500</x:v>
      </x:c>
      <x:c r="L89" s="704">
        <x:f>K89*F89</x:f>
        <x:v>215000</x:v>
      </x:c>
      <x:c r="M89" s="603"/>
    </x:row>
    <x:row r="90" spans="2:13" s="164" customFormat="1" ht="16.149999999999999" customHeight="1">
      <x:c r="B90" s="1418"/>
      <x:c r="C90" s="1407"/>
      <x:c r="D90" s="1407"/>
      <x:c r="E90" s="1407"/>
      <x:c r="F90" s="1407"/>
      <x:c r="G90" s="1407"/>
      <x:c r="H90" s="460" t="s">
        <x:v>592</x:v>
      </x:c>
      <x:c r="I90" s="460" t="s">
        <x:v>593</x:v>
      </x:c>
      <x:c r="J90" s="469">
        <x:v>30</x:v>
      </x:c>
      <x:c r="K90" s="555">
        <x:f>J90*$V$6</x:f>
        <x:v>1290</x:v>
      </x:c>
      <x:c r="L90" s="555">
        <x:f>K90*F89*G89</x:f>
        <x:v>18060</x:v>
      </x:c>
      <x:c r="M90" s="474"/>
    </x:row>
    <x:row r="91" spans="2:13" s="164" customFormat="1" ht="16.149999999999999" customHeight="1">
      <x:c r="B91" s="1418"/>
      <x:c r="C91" s="1407"/>
      <x:c r="D91" s="1407"/>
      <x:c r="E91" s="1407"/>
      <x:c r="F91" s="1407"/>
      <x:c r="G91" s="1407"/>
      <x:c r="H91" s="460" t="s">
        <x:v>592</x:v>
      </x:c>
      <x:c r="I91" s="460" t="s">
        <x:v>594</x:v>
      </x:c>
      <x:c r="J91" s="469">
        <x:v>100</x:v>
      </x:c>
      <x:c r="K91" s="555">
        <x:f>J91*$V$6</x:f>
        <x:v>4300</x:v>
      </x:c>
      <x:c r="L91" s="555">
        <x:f>K91*F89*G89</x:f>
        <x:v>60200</x:v>
      </x:c>
      <x:c r="M91" s="474"/>
    </x:row>
    <x:row r="92" spans="2:13" ht="16.149999999999999" customHeight="1">
      <x:c r="B92" s="1418"/>
      <x:c r="C92" s="1407"/>
      <x:c r="D92" s="1407"/>
      <x:c r="E92" s="1407"/>
      <x:c r="F92" s="1407"/>
      <x:c r="G92" s="1407"/>
      <x:c r="H92" s="460" t="s">
        <x:v>592</x:v>
      </x:c>
      <x:c r="I92" s="460" t="s">
        <x:v>595</x:v>
      </x:c>
      <x:c r="J92" s="469">
        <x:v>100</x:v>
      </x:c>
      <x:c r="K92" s="555">
        <x:f>J92*$V$6</x:f>
        <x:v>4300</x:v>
      </x:c>
      <x:c r="L92" s="555">
        <x:f>K92*G89</x:f>
        <x:v>30100</x:v>
      </x:c>
      <x:c r="M92" s="578" t="s">
        <x:v>596</x:v>
      </x:c>
    </x:row>
    <x:row r="93" spans="2:13" ht="21" customHeight="1">
      <x:c r="B93" s="1426"/>
      <x:c r="C93" s="1420"/>
      <x:c r="D93" s="1420"/>
      <x:c r="E93" s="1420"/>
      <x:c r="F93" s="1420"/>
      <x:c r="G93" s="1420"/>
      <x:c r="H93" s="460" t="s">
        <x:v>592</x:v>
      </x:c>
      <x:c r="I93" s="536" t="s">
        <x:v>597</x:v>
      </x:c>
      <x:c r="J93" s="745">
        <x:v>15</x:v>
      </x:c>
      <x:c r="K93" s="555">
        <x:f>J93*$V$7</x:f>
        <x:v>765</x:v>
      </x:c>
      <x:c r="L93" s="756">
        <x:f>K93*F89*G89</x:f>
        <x:v>10710</x:v>
      </x:c>
      <x:c r="M93" s="504"/>
    </x:row>
    <x:row r="94" spans="2:13" ht="16.5">
      <x:c r="B94" s="1419"/>
      <x:c r="C94" s="1409"/>
      <x:c r="D94" s="1409"/>
      <x:c r="E94" s="1409"/>
      <x:c r="F94" s="1409"/>
      <x:c r="G94" s="1409"/>
      <x:c r="H94" s="748" t="s">
        <x:v>598</x:v>
      </x:c>
      <x:c r="I94" s="748"/>
      <x:c r="J94" s="805">
        <x:f>(J89)*$F$58+SUM(J90:J93)*$G$58*$F$58</x:f>
        <x:v>0</x:v>
      </x:c>
      <x:c r="K94" s="611">
        <x:v>0</x:v>
      </x:c>
      <x:c r="L94" s="476">
        <x:f>SUM(L89:L93)</x:f>
        <x:v>334070</x:v>
      </x:c>
      <x:c r="M94" s="645"/>
    </x:row>
    <x:row r="95" spans="2:13" s="164" customFormat="1" ht="14.25">
      <x:c r="B95" s="1414" t="s">
        <x:v>992</x:v>
      </x:c>
      <x:c r="C95" s="1417" t="s">
        <x:v>994</x:v>
      </x:c>
      <x:c r="D95" s="1414" t="s">
        <x:v>993</x:v>
      </x:c>
      <x:c r="E95" s="1406" t="s">
        <x:v>191</x:v>
      </x:c>
      <x:c r="F95" s="1406">
        <x:v>2</x:v>
      </x:c>
      <x:c r="G95" s="1406">
        <x:v>10</x:v>
      </x:c>
      <x:c r="H95" s="457" t="s">
        <x:v>590</x:v>
      </x:c>
      <x:c r="I95" s="457" t="s">
        <x:v>591</x:v>
      </x:c>
      <x:c r="J95" s="422">
        <x:v>3000</x:v>
      </x:c>
      <x:c r="K95" s="422" t="s">
        <x:v>969</x:v>
      </x:c>
      <x:c r="L95" s="603">
        <x:f>J95*$V$6</x:f>
        <x:v>129000</x:v>
      </x:c>
      <x:c r="M95" s="603"/>
    </x:row>
    <x:row r="96" spans="2:13" s="164" customFormat="1" ht="14.45" customHeight="1">
      <x:c r="B96" s="1415"/>
      <x:c r="C96" s="1418"/>
      <x:c r="D96" s="1415"/>
      <x:c r="E96" s="1407"/>
      <x:c r="F96" s="1407"/>
      <x:c r="G96" s="1407"/>
      <x:c r="H96" s="463" t="s">
        <x:v>598</x:v>
      </x:c>
      <x:c r="I96" s="463"/>
      <x:c r="J96" s="492">
        <x:f>+J95*F95</x:f>
        <x:v>6000</x:v>
      </x:c>
      <x:c r="K96" s="492" t="s">
        <x:v>969</x:v>
      </x:c>
      <x:c r="L96" s="475">
        <x:f>J96*$V$6</x:f>
        <x:v>258000</x:v>
      </x:c>
      <x:c r="M96" s="474"/>
    </x:row>
    <x:row r="97" spans="2:16" s="164" customFormat="1" ht="14.45" customHeight="1">
      <x:c r="B97" s="1415"/>
      <x:c r="C97" s="1418" t="s">
        <x:v>995</x:v>
      </x:c>
      <x:c r="D97" s="1415"/>
      <x:c r="E97" s="1408" t="s">
        <x:v>191</x:v>
      </x:c>
      <x:c r="F97" s="1408">
        <x:v>4</x:v>
      </x:c>
      <x:c r="G97" s="1408">
        <x:v>10</x:v>
      </x:c>
      <x:c r="H97" s="446" t="s">
        <x:v>590</x:v>
      </x:c>
      <x:c r="I97" s="446" t="s">
        <x:v>591</x:v>
      </x:c>
      <x:c r="J97" s="402">
        <x:v>3000</x:v>
      </x:c>
      <x:c r="K97" s="402" t="s">
        <x:v>969</x:v>
      </x:c>
      <x:c r="L97" s="474">
        <x:f>J97*$V$6</x:f>
        <x:v>129000</x:v>
      </x:c>
      <x:c r="M97" s="581"/>
      <x:c r="N97" s="622"/>
      <x:c r="O97" s="569"/>
      <x:c r="P97" s="569"/>
    </x:row>
    <x:row r="98" spans="2:16" s="164" customFormat="1" ht="14.45" customHeight="1">
      <x:c r="B98" s="1416"/>
      <x:c r="C98" s="1419"/>
      <x:c r="D98" s="1416"/>
      <x:c r="E98" s="1409"/>
      <x:c r="F98" s="1409"/>
      <x:c r="G98" s="1409"/>
      <x:c r="H98" s="748" t="s">
        <x:v>598</x:v>
      </x:c>
      <x:c r="I98" s="748"/>
      <x:c r="J98" s="805">
        <x:f>+J97*F97</x:f>
        <x:v>12000</x:v>
      </x:c>
      <x:c r="K98" s="805" t="s">
        <x:v>969</x:v>
      </x:c>
      <x:c r="L98" s="570">
        <x:f>J98*$V$6</x:f>
        <x:v>516000</x:v>
      </x:c>
      <x:c r="M98" s="645"/>
      <x:c r="N98" s="622"/>
      <x:c r="O98" s="569"/>
      <x:c r="P98" s="569"/>
    </x:row>
    <x:row r="99" spans="2:16" s="164" customFormat="1" ht="14.45" customHeight="1">
      <x:c r="B99" s="382"/>
      <x:c r="C99" s="382"/>
      <x:c r="D99" s="382"/>
      <x:c r="E99" s="382"/>
      <x:c r="F99" s="382"/>
      <x:c r="G99" s="382"/>
      <x:c r="H99" s="382"/>
      <x:c r="I99" s="382"/>
      <x:c r="J99" s="382"/>
      <x:c r="K99" s="382"/>
      <x:c r="L99" s="382"/>
      <x:c r="M99" s="382"/>
      <x:c r="N99" s="622"/>
      <x:c r="O99" s="569"/>
      <x:c r="P99" s="569"/>
    </x:row>
    <x:row r="100" spans="2:16" s="164" customFormat="1" ht="31.15" customHeight="1">
      <x:c r="B100" s="406" t="s">
        <x:v>752</x:v>
      </x:c>
      <x:c r="C100" s="569"/>
      <x:c r="D100" s="569"/>
      <x:c r="E100" s="569"/>
      <x:c r="F100" s="569"/>
      <x:c r="G100" s="569"/>
      <x:c r="H100" s="569"/>
      <x:c r="I100" s="382"/>
      <x:c r="J100" s="382"/>
      <x:c r="K100" s="382"/>
      <x:c r="L100" s="382"/>
      <x:c r="M100" s="382"/>
      <x:c r="N100" s="622"/>
      <x:c r="O100" s="569"/>
      <x:c r="P100" s="569"/>
    </x:row>
    <x:row r="101" spans="2:16" s="164" customFormat="1" ht="14.45" customHeight="1">
      <x:c r="B101" s="409" t="s">
        <x:v>634</x:v>
      </x:c>
      <x:c r="C101" s="409" t="s">
        <x:v>600</x:v>
      </x:c>
      <x:c r="D101" s="409" t="s">
        <x:v>606</x:v>
      </x:c>
      <x:c r="E101" s="409" t="s">
        <x:v>232</x:v>
      </x:c>
      <x:c r="F101" s="409" t="s">
        <x:v>642</x:v>
      </x:c>
      <x:c r="G101" s="409" t="s">
        <x:v>635</x:v>
      </x:c>
      <x:c r="H101" s="1428" t="s">
        <x:v>629</x:v>
      </x:c>
      <x:c r="I101" s="1429"/>
      <x:c r="J101" s="409" t="s">
        <x:v>163</x:v>
      </x:c>
      <x:c r="K101" s="409" t="s">
        <x:v>651</x:v>
      </x:c>
      <x:c r="L101" s="409" t="s">
        <x:v>207</x:v>
      </x:c>
      <x:c r="M101" s="409" t="s">
        <x:v>589</x:v>
      </x:c>
      <x:c r="N101" s="622"/>
      <x:c r="O101" s="569"/>
      <x:c r="P101" s="569"/>
    </x:row>
    <x:row r="102" spans="2:16" s="164" customFormat="1" ht="14.45" customHeight="1">
      <x:c r="B102" s="1425" t="s">
        <x:v>631</x:v>
      </x:c>
      <x:c r="C102" s="1417" t="s">
        <x:v>754</x:v>
      </x:c>
      <x:c r="D102" s="1417" t="s">
        <x:v>753</x:v>
      </x:c>
      <x:c r="E102" s="1406" t="s">
        <x:v>1200</x:v>
      </x:c>
      <x:c r="F102" s="1406">
        <x:v>2</x:v>
      </x:c>
      <x:c r="G102" s="1406">
        <x:v>15</x:v>
      </x:c>
      <x:c r="H102" s="457" t="s">
        <x:v>590</x:v>
      </x:c>
      <x:c r="I102" s="457" t="s">
        <x:v>591</x:v>
      </x:c>
      <x:c r="J102" s="422">
        <x:v>2500</x:v>
      </x:c>
      <x:c r="K102" s="704">
        <x:f>J102*$V$6</x:f>
        <x:v>107500</x:v>
      </x:c>
      <x:c r="L102" s="704">
        <x:f>K102*F102</x:f>
        <x:v>215000</x:v>
      </x:c>
      <x:c r="M102" s="603"/>
      <x:c r="N102" s="624"/>
      <x:c r="O102" s="864"/>
      <x:c r="P102" s="864" t="s">
        <x:v>1032</x:v>
      </x:c>
    </x:row>
    <x:row r="103" spans="2:16" s="164" customFormat="1" ht="14.45" customHeight="1">
      <x:c r="B103" s="1425"/>
      <x:c r="C103" s="1418"/>
      <x:c r="D103" s="1418"/>
      <x:c r="E103" s="1407"/>
      <x:c r="F103" s="1407"/>
      <x:c r="G103" s="1407"/>
      <x:c r="H103" s="460" t="s">
        <x:v>592</x:v>
      </x:c>
      <x:c r="I103" s="460" t="s">
        <x:v>593</x:v>
      </x:c>
      <x:c r="J103" s="469">
        <x:v>60</x:v>
      </x:c>
      <x:c r="K103" s="555">
        <x:f>J103*$V$6</x:f>
        <x:v>2580</x:v>
      </x:c>
      <x:c r="L103" s="555">
        <x:f>K103*F102*G102</x:f>
        <x:v>77400</x:v>
      </x:c>
      <x:c r="M103" s="474"/>
      <x:c r="N103" s="569"/>
      <x:c r="O103" s="865" t="s">
        <x:v>591</x:v>
      </x:c>
      <x:c r="P103" s="866">
        <x:f>SUM(L102,L108,L114,L120,L126,L132)</x:f>
        <x:v>1290000</x:v>
      </x:c>
    </x:row>
    <x:row r="104" spans="2:16" s="164" customFormat="1" ht="14.45" customHeight="1">
      <x:c r="B104" s="1425"/>
      <x:c r="C104" s="1418"/>
      <x:c r="D104" s="1418"/>
      <x:c r="E104" s="1407"/>
      <x:c r="F104" s="1407"/>
      <x:c r="G104" s="1407"/>
      <x:c r="H104" s="460" t="s">
        <x:v>592</x:v>
      </x:c>
      <x:c r="I104" s="460" t="s">
        <x:v>594</x:v>
      </x:c>
      <x:c r="J104" s="469">
        <x:v>150</x:v>
      </x:c>
      <x:c r="K104" s="555">
        <x:f>J104*$V$6</x:f>
        <x:v>6450</x:v>
      </x:c>
      <x:c r="L104" s="555">
        <x:f>K104*F102*G102</x:f>
        <x:v>193500</x:v>
      </x:c>
      <x:c r="M104" s="474"/>
      <x:c r="N104" s="569"/>
      <x:c r="O104" s="865" t="s">
        <x:v>593</x:v>
      </x:c>
      <x:c r="P104" s="866">
        <x:f>SUM(L103,L109,L115,L121,L127,L133)</x:f>
        <x:v>335400</x:v>
      </x:c>
    </x:row>
    <x:row r="105" spans="2:16" s="164" customFormat="1" ht="14.45" customHeight="1">
      <x:c r="B105" s="1425"/>
      <x:c r="C105" s="1418"/>
      <x:c r="D105" s="1418"/>
      <x:c r="E105" s="1407"/>
      <x:c r="F105" s="1407"/>
      <x:c r="G105" s="1407"/>
      <x:c r="H105" s="460" t="s">
        <x:v>592</x:v>
      </x:c>
      <x:c r="I105" s="460" t="s">
        <x:v>595</x:v>
      </x:c>
      <x:c r="J105" s="469">
        <x:v>80</x:v>
      </x:c>
      <x:c r="K105" s="555">
        <x:f>J105*$V$6</x:f>
        <x:v>3440</x:v>
      </x:c>
      <x:c r="L105" s="555">
        <x:f>K105*G102</x:f>
        <x:v>51600</x:v>
      </x:c>
      <x:c r="M105" s="578" t="s">
        <x:v>596</x:v>
      </x:c>
      <x:c r="N105" s="569"/>
      <x:c r="O105" s="865" t="s">
        <x:v>594</x:v>
      </x:c>
      <x:c r="P105" s="866">
        <x:f t="shared" ref="P105:P106" si="9">SUM(L104,L110,L116,L122,L128,L134)</x:f>
        <x:v>838500</x:v>
      </x:c>
    </x:row>
    <x:row r="106" spans="2:16" s="164" customFormat="1" ht="14.45" customHeight="1">
      <x:c r="B106" s="1425"/>
      <x:c r="C106" s="1426"/>
      <x:c r="D106" s="1426"/>
      <x:c r="E106" s="1420"/>
      <x:c r="F106" s="1420"/>
      <x:c r="G106" s="1420"/>
      <x:c r="H106" s="460" t="s">
        <x:v>592</x:v>
      </x:c>
      <x:c r="I106" s="536" t="s">
        <x:v>597</x:v>
      </x:c>
      <x:c r="J106" s="745">
        <x:v>25</x:v>
      </x:c>
      <x:c r="K106" s="555">
        <x:f>J106*$V$6</x:f>
        <x:v>1075</x:v>
      </x:c>
      <x:c r="L106" s="756">
        <x:f>K106*F102*G102</x:f>
        <x:v>32250</x:v>
      </x:c>
      <x:c r="M106" s="504"/>
      <x:c r="N106" s="569"/>
      <x:c r="O106" s="865" t="s">
        <x:v>595</x:v>
      </x:c>
      <x:c r="P106" s="866">
        <x:f t="shared" si="9"/>
        <x:v>223600</x:v>
      </x:c>
    </x:row>
    <x:row r="107" spans="2:16" s="164" customFormat="1" ht="14.45" customHeight="1">
      <x:c r="B107" s="1425"/>
      <x:c r="C107" s="1419"/>
      <x:c r="D107" s="1419"/>
      <x:c r="E107" s="1409"/>
      <x:c r="F107" s="1409"/>
      <x:c r="G107" s="1409"/>
      <x:c r="H107" s="748" t="s">
        <x:v>598</x:v>
      </x:c>
      <x:c r="I107" s="748"/>
      <x:c r="J107" s="805">
        <x:f>(J102)*$F$58+SUM(J103:J106)*$G$58*$F$58</x:f>
        <x:v>0</x:v>
      </x:c>
      <x:c r="K107" s="611">
        <x:f>SUM(K102:K106)</x:f>
        <x:v>121045</x:v>
      </x:c>
      <x:c r="L107" s="476">
        <x:f>SUM(L102:L106)</x:f>
        <x:v>569750</x:v>
      </x:c>
      <x:c r="M107" s="645"/>
      <x:c r="N107" s="569"/>
      <x:c r="O107" s="865" t="s">
        <x:v>597</x:v>
      </x:c>
      <x:c r="P107" s="866">
        <x:f>SUM(L106,L112,L118,L124,L130,L136)</x:f>
        <x:v>139750</x:v>
      </x:c>
    </x:row>
    <x:row r="108" spans="2:16" s="164" customFormat="1" ht="14.45" customHeight="1">
      <x:c r="B108" s="1417" t="s">
        <x:v>631</x:v>
      </x:c>
      <x:c r="C108" s="1417" t="s">
        <x:v>757</x:v>
      </x:c>
      <x:c r="D108" s="1417" t="s">
        <x:v>753</x:v>
      </x:c>
      <x:c r="E108" s="1406" t="s">
        <x:v>636</x:v>
      </x:c>
      <x:c r="F108" s="1406">
        <x:v>2</x:v>
      </x:c>
      <x:c r="G108" s="1406">
        <x:v>10</x:v>
      </x:c>
      <x:c r="H108" s="457" t="s">
        <x:v>590</x:v>
      </x:c>
      <x:c r="I108" s="457" t="s">
        <x:v>591</x:v>
      </x:c>
      <x:c r="J108" s="422">
        <x:v>2500</x:v>
      </x:c>
      <x:c r="K108" s="704">
        <x:f>J108*$V$6</x:f>
        <x:v>107500</x:v>
      </x:c>
      <x:c r="L108" s="704">
        <x:f>K108*F108</x:f>
        <x:v>215000</x:v>
      </x:c>
      <x:c r="M108" s="603"/>
      <x:c r="N108" s="569"/>
      <x:c r="O108" s="867" t="s">
        <x:v>1280</x:v>
      </x:c>
      <x:c r="P108" s="866">
        <x:f>SUM(P103:P107)</x:f>
        <x:v>2827250</x:v>
      </x:c>
    </x:row>
    <x:row r="109" spans="2:16" s="164" customFormat="1" ht="14.45" customHeight="1">
      <x:c r="B109" s="1418"/>
      <x:c r="C109" s="1418"/>
      <x:c r="D109" s="1418"/>
      <x:c r="E109" s="1407"/>
      <x:c r="F109" s="1407"/>
      <x:c r="G109" s="1407"/>
      <x:c r="H109" s="460" t="s">
        <x:v>592</x:v>
      </x:c>
      <x:c r="I109" s="460" t="s">
        <x:v>593</x:v>
      </x:c>
      <x:c r="J109" s="469">
        <x:v>60</x:v>
      </x:c>
      <x:c r="K109" s="555">
        <x:f>J109*$V$6</x:f>
        <x:v>2580</x:v>
      </x:c>
      <x:c r="L109" s="555">
        <x:f>K109*F108*G108</x:f>
        <x:v>51600</x:v>
      </x:c>
      <x:c r="M109" s="474"/>
      <x:c r="N109" s="569"/>
      <x:c r="O109" s="569"/>
      <x:c r="P109" s="569"/>
    </x:row>
    <x:row r="110" spans="2:16" s="164" customFormat="1" ht="14.45" customHeight="1">
      <x:c r="B110" s="1418"/>
      <x:c r="C110" s="1418"/>
      <x:c r="D110" s="1418"/>
      <x:c r="E110" s="1407"/>
      <x:c r="F110" s="1407"/>
      <x:c r="G110" s="1407"/>
      <x:c r="H110" s="460" t="s">
        <x:v>592</x:v>
      </x:c>
      <x:c r="I110" s="460" t="s">
        <x:v>594</x:v>
      </x:c>
      <x:c r="J110" s="469">
        <x:v>150</x:v>
      </x:c>
      <x:c r="K110" s="555">
        <x:f>J110*$V$6</x:f>
        <x:v>6450</x:v>
      </x:c>
      <x:c r="L110" s="555">
        <x:f>K110*F108*G108</x:f>
        <x:v>129000</x:v>
      </x:c>
      <x:c r="M110" s="474"/>
      <x:c r="N110" s="569"/>
      <x:c r="O110" s="569"/>
      <x:c r="P110" s="569"/>
    </x:row>
    <x:row r="111" spans="2:16" s="164" customFormat="1" ht="14.45" customHeight="1">
      <x:c r="B111" s="1418"/>
      <x:c r="C111" s="1418"/>
      <x:c r="D111" s="1418"/>
      <x:c r="E111" s="1407"/>
      <x:c r="F111" s="1407"/>
      <x:c r="G111" s="1407"/>
      <x:c r="H111" s="460" t="s">
        <x:v>592</x:v>
      </x:c>
      <x:c r="I111" s="460" t="s">
        <x:v>595</x:v>
      </x:c>
      <x:c r="J111" s="469">
        <x:v>80</x:v>
      </x:c>
      <x:c r="K111" s="555">
        <x:f>J111*$V$6</x:f>
        <x:v>3440</x:v>
      </x:c>
      <x:c r="L111" s="555">
        <x:f>K111*G108</x:f>
        <x:v>34400</x:v>
      </x:c>
      <x:c r="M111" s="578" t="s">
        <x:v>596</x:v>
      </x:c>
      <x:c r="N111" s="569"/>
      <x:c r="O111" s="569"/>
      <x:c r="P111" s="569"/>
    </x:row>
    <x:row r="112" spans="2:16" s="164" customFormat="1" ht="14.45" customHeight="1">
      <x:c r="B112" s="1426"/>
      <x:c r="C112" s="1426"/>
      <x:c r="D112" s="1426"/>
      <x:c r="E112" s="1420"/>
      <x:c r="F112" s="1420"/>
      <x:c r="G112" s="1420"/>
      <x:c r="H112" s="460" t="s">
        <x:v>592</x:v>
      </x:c>
      <x:c r="I112" s="536" t="s">
        <x:v>597</x:v>
      </x:c>
      <x:c r="J112" s="745">
        <x:v>25</x:v>
      </x:c>
      <x:c r="K112" s="555">
        <x:f>J112*$V$6</x:f>
        <x:v>1075</x:v>
      </x:c>
      <x:c r="L112" s="756">
        <x:f>K112*F108*G108</x:f>
        <x:v>21500</x:v>
      </x:c>
      <x:c r="M112" s="504"/>
      <x:c r="N112" s="569"/>
      <x:c r="O112" s="569"/>
      <x:c r="P112" s="569"/>
    </x:row>
    <x:row r="113" spans="2:13" s="164" customFormat="1" ht="14.45" customHeight="1">
      <x:c r="B113" s="1419"/>
      <x:c r="C113" s="1419"/>
      <x:c r="D113" s="1419"/>
      <x:c r="E113" s="1409"/>
      <x:c r="F113" s="1409"/>
      <x:c r="G113" s="1409"/>
      <x:c r="H113" s="748" t="s">
        <x:v>598</x:v>
      </x:c>
      <x:c r="I113" s="748"/>
      <x:c r="J113" s="805" t="s">
        <x:v>287</x:v>
      </x:c>
      <x:c r="K113" s="611">
        <x:f>SUM(K108:K112)</x:f>
        <x:v>121045</x:v>
      </x:c>
      <x:c r="L113" s="476">
        <x:f>SUM(L108:L112)</x:f>
        <x:v>451500</x:v>
      </x:c>
      <x:c r="M113" s="645"/>
    </x:row>
    <x:row r="114" spans="2:13" s="164" customFormat="1" ht="14.45" customHeight="1">
      <x:c r="B114" s="1425" t="s">
        <x:v>630</x:v>
      </x:c>
      <x:c r="C114" s="1417" t="s">
        <x:v>756</x:v>
      </x:c>
      <x:c r="D114" s="1417" t="s">
        <x:v>753</x:v>
      </x:c>
      <x:c r="E114" s="1406" t="s">
        <x:v>636</x:v>
      </x:c>
      <x:c r="F114" s="1406">
        <x:v>2</x:v>
      </x:c>
      <x:c r="G114" s="1406">
        <x:v>10</x:v>
      </x:c>
      <x:c r="H114" s="457" t="s">
        <x:v>590</x:v>
      </x:c>
      <x:c r="I114" s="457" t="s">
        <x:v>591</x:v>
      </x:c>
      <x:c r="J114" s="422">
        <x:v>2500</x:v>
      </x:c>
      <x:c r="K114" s="704">
        <x:f>J114*$V$6</x:f>
        <x:v>107500</x:v>
      </x:c>
      <x:c r="L114" s="704">
        <x:f>K114*F114</x:f>
        <x:v>215000</x:v>
      </x:c>
      <x:c r="M114" s="603"/>
    </x:row>
    <x:row r="115" spans="2:13" s="164" customFormat="1" ht="14.45" customHeight="1">
      <x:c r="B115" s="1425"/>
      <x:c r="C115" s="1418"/>
      <x:c r="D115" s="1418"/>
      <x:c r="E115" s="1407"/>
      <x:c r="F115" s="1407"/>
      <x:c r="G115" s="1407"/>
      <x:c r="H115" s="460" t="s">
        <x:v>592</x:v>
      </x:c>
      <x:c r="I115" s="460" t="s">
        <x:v>593</x:v>
      </x:c>
      <x:c r="J115" s="469">
        <x:v>60</x:v>
      </x:c>
      <x:c r="K115" s="555">
        <x:f>J115*$V$6</x:f>
        <x:v>2580</x:v>
      </x:c>
      <x:c r="L115" s="555">
        <x:f>K115*F114*G114</x:f>
        <x:v>51600</x:v>
      </x:c>
      <x:c r="M115" s="474"/>
    </x:row>
    <x:row r="116" spans="2:13" s="164" customFormat="1" ht="14.45" customHeight="1">
      <x:c r="B116" s="1425"/>
      <x:c r="C116" s="1418"/>
      <x:c r="D116" s="1418"/>
      <x:c r="E116" s="1407"/>
      <x:c r="F116" s="1407"/>
      <x:c r="G116" s="1407"/>
      <x:c r="H116" s="460" t="s">
        <x:v>592</x:v>
      </x:c>
      <x:c r="I116" s="460" t="s">
        <x:v>594</x:v>
      </x:c>
      <x:c r="J116" s="469">
        <x:v>150</x:v>
      </x:c>
      <x:c r="K116" s="555">
        <x:f>J116*$V$6</x:f>
        <x:v>6450</x:v>
      </x:c>
      <x:c r="L116" s="555">
        <x:f>K116*F114*G114</x:f>
        <x:v>129000</x:v>
      </x:c>
      <x:c r="M116" s="474"/>
    </x:row>
    <x:row r="117" spans="2:13" s="164" customFormat="1" ht="14.45" customHeight="1">
      <x:c r="B117" s="1425"/>
      <x:c r="C117" s="1418"/>
      <x:c r="D117" s="1418"/>
      <x:c r="E117" s="1407"/>
      <x:c r="F117" s="1407"/>
      <x:c r="G117" s="1407"/>
      <x:c r="H117" s="460" t="s">
        <x:v>592</x:v>
      </x:c>
      <x:c r="I117" s="460" t="s">
        <x:v>595</x:v>
      </x:c>
      <x:c r="J117" s="469">
        <x:v>80</x:v>
      </x:c>
      <x:c r="K117" s="555">
        <x:f>J117*$V$6</x:f>
        <x:v>3440</x:v>
      </x:c>
      <x:c r="L117" s="555">
        <x:f>K117*G114</x:f>
        <x:v>34400</x:v>
      </x:c>
      <x:c r="M117" s="578" t="s">
        <x:v>596</x:v>
      </x:c>
    </x:row>
    <x:row r="118" spans="2:13" s="164" customFormat="1" ht="14.45" customHeight="1">
      <x:c r="B118" s="1425"/>
      <x:c r="C118" s="1426"/>
      <x:c r="D118" s="1426"/>
      <x:c r="E118" s="1420"/>
      <x:c r="F118" s="1420"/>
      <x:c r="G118" s="1420"/>
      <x:c r="H118" s="460" t="s">
        <x:v>592</x:v>
      </x:c>
      <x:c r="I118" s="536" t="s">
        <x:v>597</x:v>
      </x:c>
      <x:c r="J118" s="745">
        <x:v>25</x:v>
      </x:c>
      <x:c r="K118" s="555">
        <x:f>J118*$V$6</x:f>
        <x:v>1075</x:v>
      </x:c>
      <x:c r="L118" s="756">
        <x:f>K118*F114*G114</x:f>
        <x:v>21500</x:v>
      </x:c>
      <x:c r="M118" s="504"/>
    </x:row>
    <x:row r="119" spans="2:13" s="164" customFormat="1" ht="14.45" customHeight="1">
      <x:c r="B119" s="1425"/>
      <x:c r="C119" s="1419"/>
      <x:c r="D119" s="1419"/>
      <x:c r="E119" s="1409"/>
      <x:c r="F119" s="1409"/>
      <x:c r="G119" s="1409"/>
      <x:c r="H119" s="748" t="s">
        <x:v>598</x:v>
      </x:c>
      <x:c r="I119" s="748"/>
      <x:c r="J119" s="805" t="s">
        <x:v>287</x:v>
      </x:c>
      <x:c r="K119" s="611">
        <x:f>SUM(K114:K118)</x:f>
        <x:v>121045</x:v>
      </x:c>
      <x:c r="L119" s="476">
        <x:f>SUM(L114:L118)</x:f>
        <x:v>451500</x:v>
      </x:c>
      <x:c r="M119" s="645"/>
    </x:row>
    <x:row r="120" spans="2:13" s="164" customFormat="1" ht="14.45" customHeight="1">
      <x:c r="B120" s="1417" t="s">
        <x:v>631</x:v>
      </x:c>
      <x:c r="C120" s="1417" t="s">
        <x:v>758</x:v>
      </x:c>
      <x:c r="D120" s="1417" t="s">
        <x:v>753</x:v>
      </x:c>
      <x:c r="E120" s="1406" t="s">
        <x:v>759</x:v>
      </x:c>
      <x:c r="F120" s="1406">
        <x:v>2</x:v>
      </x:c>
      <x:c r="G120" s="1406">
        <x:v>10</x:v>
      </x:c>
      <x:c r="H120" s="457" t="s">
        <x:v>590</x:v>
      </x:c>
      <x:c r="I120" s="457" t="s">
        <x:v>591</x:v>
      </x:c>
      <x:c r="J120" s="422">
        <x:v>2500</x:v>
      </x:c>
      <x:c r="K120" s="704">
        <x:f>J120*$V$6</x:f>
        <x:v>107500</x:v>
      </x:c>
      <x:c r="L120" s="704">
        <x:f>K120*F120</x:f>
        <x:v>215000</x:v>
      </x:c>
      <x:c r="M120" s="603"/>
    </x:row>
    <x:row r="121" spans="2:13" s="164" customFormat="1" ht="14.45" customHeight="1">
      <x:c r="B121" s="1418"/>
      <x:c r="C121" s="1418"/>
      <x:c r="D121" s="1418"/>
      <x:c r="E121" s="1407"/>
      <x:c r="F121" s="1407"/>
      <x:c r="G121" s="1407"/>
      <x:c r="H121" s="460" t="s">
        <x:v>592</x:v>
      </x:c>
      <x:c r="I121" s="460" t="s">
        <x:v>593</x:v>
      </x:c>
      <x:c r="J121" s="469">
        <x:v>60</x:v>
      </x:c>
      <x:c r="K121" s="555">
        <x:f>J121*$V$6</x:f>
        <x:v>2580</x:v>
      </x:c>
      <x:c r="L121" s="555">
        <x:f>K121*F120*G120</x:f>
        <x:v>51600</x:v>
      </x:c>
      <x:c r="M121" s="474"/>
    </x:row>
    <x:row r="122" spans="2:13" s="164" customFormat="1" ht="14.45" customHeight="1">
      <x:c r="B122" s="1418"/>
      <x:c r="C122" s="1418"/>
      <x:c r="D122" s="1418"/>
      <x:c r="E122" s="1407"/>
      <x:c r="F122" s="1407"/>
      <x:c r="G122" s="1407"/>
      <x:c r="H122" s="460" t="s">
        <x:v>592</x:v>
      </x:c>
      <x:c r="I122" s="460" t="s">
        <x:v>594</x:v>
      </x:c>
      <x:c r="J122" s="469">
        <x:v>150</x:v>
      </x:c>
      <x:c r="K122" s="555">
        <x:f>J122*$V$6</x:f>
        <x:v>6450</x:v>
      </x:c>
      <x:c r="L122" s="555">
        <x:f>K122*F120*G120</x:f>
        <x:v>129000</x:v>
      </x:c>
      <x:c r="M122" s="474"/>
    </x:row>
    <x:row r="123" spans="2:13" s="164" customFormat="1" ht="14.45" customHeight="1">
      <x:c r="B123" s="1418"/>
      <x:c r="C123" s="1418"/>
      <x:c r="D123" s="1418"/>
      <x:c r="E123" s="1407"/>
      <x:c r="F123" s="1407"/>
      <x:c r="G123" s="1407"/>
      <x:c r="H123" s="460" t="s">
        <x:v>592</x:v>
      </x:c>
      <x:c r="I123" s="460" t="s">
        <x:v>595</x:v>
      </x:c>
      <x:c r="J123" s="469">
        <x:v>80</x:v>
      </x:c>
      <x:c r="K123" s="555">
        <x:f>J123*$V$6</x:f>
        <x:v>3440</x:v>
      </x:c>
      <x:c r="L123" s="555">
        <x:f>K123*G120</x:f>
        <x:v>34400</x:v>
      </x:c>
      <x:c r="M123" s="578" t="s">
        <x:v>596</x:v>
      </x:c>
    </x:row>
    <x:row r="124" spans="2:13" s="164" customFormat="1" ht="14.45" customHeight="1">
      <x:c r="B124" s="1426"/>
      <x:c r="C124" s="1426"/>
      <x:c r="D124" s="1426"/>
      <x:c r="E124" s="1420"/>
      <x:c r="F124" s="1420"/>
      <x:c r="G124" s="1420"/>
      <x:c r="H124" s="460" t="s">
        <x:v>592</x:v>
      </x:c>
      <x:c r="I124" s="536" t="s">
        <x:v>597</x:v>
      </x:c>
      <x:c r="J124" s="745">
        <x:v>25</x:v>
      </x:c>
      <x:c r="K124" s="555">
        <x:f>J124*$V$6</x:f>
        <x:v>1075</x:v>
      </x:c>
      <x:c r="L124" s="756">
        <x:f>K124*F120*G120</x:f>
        <x:v>21500</x:v>
      </x:c>
      <x:c r="M124" s="504"/>
    </x:row>
    <x:row r="125" spans="2:13" s="164" customFormat="1" ht="14.45" customHeight="1">
      <x:c r="B125" s="1419"/>
      <x:c r="C125" s="1419"/>
      <x:c r="D125" s="1419"/>
      <x:c r="E125" s="1409"/>
      <x:c r="F125" s="1409"/>
      <x:c r="G125" s="1409"/>
      <x:c r="H125" s="748" t="s">
        <x:v>598</x:v>
      </x:c>
      <x:c r="I125" s="748"/>
      <x:c r="J125" s="805" t="s">
        <x:v>287</x:v>
      </x:c>
      <x:c r="K125" s="611">
        <x:f>SUM(K120:K124)</x:f>
        <x:v>121045</x:v>
      </x:c>
      <x:c r="L125" s="476">
        <x:f>SUM(L120:L124)</x:f>
        <x:v>451500</x:v>
      </x:c>
      <x:c r="M125" s="645"/>
    </x:row>
    <x:row r="126" spans="2:13" s="164" customFormat="1" ht="14.45" customHeight="1">
      <x:c r="B126" s="1425" t="s">
        <x:v>631</x:v>
      </x:c>
      <x:c r="C126" s="1417" t="s">
        <x:v>760</x:v>
      </x:c>
      <x:c r="D126" s="1417" t="s">
        <x:v>753</x:v>
      </x:c>
      <x:c r="E126" s="1406" t="s">
        <x:v>755</x:v>
      </x:c>
      <x:c r="F126" s="1406">
        <x:v>2</x:v>
      </x:c>
      <x:c r="G126" s="1406">
        <x:v>10</x:v>
      </x:c>
      <x:c r="H126" s="457" t="s">
        <x:v>590</x:v>
      </x:c>
      <x:c r="I126" s="457" t="s">
        <x:v>591</x:v>
      </x:c>
      <x:c r="J126" s="422">
        <x:v>2500</x:v>
      </x:c>
      <x:c r="K126" s="704">
        <x:f>J126*$V$6</x:f>
        <x:v>107500</x:v>
      </x:c>
      <x:c r="L126" s="704">
        <x:f>K126*F126</x:f>
        <x:v>215000</x:v>
      </x:c>
      <x:c r="M126" s="603"/>
    </x:row>
    <x:row r="127" spans="2:13" s="164" customFormat="1" ht="14.45" customHeight="1">
      <x:c r="B127" s="1425"/>
      <x:c r="C127" s="1418"/>
      <x:c r="D127" s="1418"/>
      <x:c r="E127" s="1407"/>
      <x:c r="F127" s="1407"/>
      <x:c r="G127" s="1407"/>
      <x:c r="H127" s="460" t="s">
        <x:v>592</x:v>
      </x:c>
      <x:c r="I127" s="460" t="s">
        <x:v>593</x:v>
      </x:c>
      <x:c r="J127" s="469">
        <x:v>60</x:v>
      </x:c>
      <x:c r="K127" s="555">
        <x:f>J127*$V$6</x:f>
        <x:v>2580</x:v>
      </x:c>
      <x:c r="L127" s="555">
        <x:f>K127*F126*G126</x:f>
        <x:v>51600</x:v>
      </x:c>
      <x:c r="M127" s="474"/>
    </x:row>
    <x:row r="128" spans="2:13" s="164" customFormat="1" ht="14.45" customHeight="1">
      <x:c r="B128" s="1425"/>
      <x:c r="C128" s="1418"/>
      <x:c r="D128" s="1418"/>
      <x:c r="E128" s="1407"/>
      <x:c r="F128" s="1407"/>
      <x:c r="G128" s="1407"/>
      <x:c r="H128" s="460" t="s">
        <x:v>592</x:v>
      </x:c>
      <x:c r="I128" s="460" t="s">
        <x:v>594</x:v>
      </x:c>
      <x:c r="J128" s="469">
        <x:v>150</x:v>
      </x:c>
      <x:c r="K128" s="555">
        <x:f>J128*$V$6</x:f>
        <x:v>6450</x:v>
      </x:c>
      <x:c r="L128" s="555">
        <x:f>K128*F126*G126</x:f>
        <x:v>129000</x:v>
      </x:c>
      <x:c r="M128" s="474"/>
    </x:row>
    <x:row r="129" spans="2:13" s="164" customFormat="1" ht="14.45" customHeight="1">
      <x:c r="B129" s="1425"/>
      <x:c r="C129" s="1418"/>
      <x:c r="D129" s="1418"/>
      <x:c r="E129" s="1407"/>
      <x:c r="F129" s="1407"/>
      <x:c r="G129" s="1407"/>
      <x:c r="H129" s="460" t="s">
        <x:v>592</x:v>
      </x:c>
      <x:c r="I129" s="460" t="s">
        <x:v>595</x:v>
      </x:c>
      <x:c r="J129" s="469">
        <x:v>80</x:v>
      </x:c>
      <x:c r="K129" s="555">
        <x:f>J129*$V$6</x:f>
        <x:v>3440</x:v>
      </x:c>
      <x:c r="L129" s="555">
        <x:f>K129*G126</x:f>
        <x:v>34400</x:v>
      </x:c>
      <x:c r="M129" s="578" t="s">
        <x:v>596</x:v>
      </x:c>
    </x:row>
    <x:row r="130" spans="2:13" s="164" customFormat="1" ht="14.45" customHeight="1">
      <x:c r="B130" s="1425"/>
      <x:c r="C130" s="1426"/>
      <x:c r="D130" s="1426"/>
      <x:c r="E130" s="1420"/>
      <x:c r="F130" s="1420"/>
      <x:c r="G130" s="1420"/>
      <x:c r="H130" s="460" t="s">
        <x:v>592</x:v>
      </x:c>
      <x:c r="I130" s="536" t="s">
        <x:v>597</x:v>
      </x:c>
      <x:c r="J130" s="745">
        <x:v>25</x:v>
      </x:c>
      <x:c r="K130" s="555">
        <x:f>J130*$V$6</x:f>
        <x:v>1075</x:v>
      </x:c>
      <x:c r="L130" s="756">
        <x:f>K130*F126*G126</x:f>
        <x:v>21500</x:v>
      </x:c>
      <x:c r="M130" s="504"/>
    </x:row>
    <x:row r="131" spans="2:13" s="164" customFormat="1" ht="14.45" customHeight="1">
      <x:c r="B131" s="1425"/>
      <x:c r="C131" s="1419"/>
      <x:c r="D131" s="1419"/>
      <x:c r="E131" s="1409"/>
      <x:c r="F131" s="1409"/>
      <x:c r="G131" s="1409"/>
      <x:c r="H131" s="748" t="s">
        <x:v>598</x:v>
      </x:c>
      <x:c r="I131" s="748"/>
      <x:c r="J131" s="805" t="s">
        <x:v>287</x:v>
      </x:c>
      <x:c r="K131" s="611">
        <x:f>SUM(K126:K130)</x:f>
        <x:v>121045</x:v>
      </x:c>
      <x:c r="L131" s="476">
        <x:f>SUM(L126:L130)</x:f>
        <x:v>451500</x:v>
      </x:c>
      <x:c r="M131" s="645"/>
    </x:row>
    <x:row r="132" spans="2:13" ht="17.45" customHeight="1">
      <x:c r="B132" s="1425" t="s">
        <x:v>631</x:v>
      </x:c>
      <x:c r="C132" s="1417" t="s">
        <x:v>760</x:v>
      </x:c>
      <x:c r="D132" s="1417" t="s">
        <x:v>753</x:v>
      </x:c>
      <x:c r="E132" s="1406" t="s">
        <x:v>761</x:v>
      </x:c>
      <x:c r="F132" s="1406">
        <x:v>2</x:v>
      </x:c>
      <x:c r="G132" s="1406">
        <x:v>10</x:v>
      </x:c>
      <x:c r="H132" s="457" t="s">
        <x:v>590</x:v>
      </x:c>
      <x:c r="I132" s="457" t="s">
        <x:v>591</x:v>
      </x:c>
      <x:c r="J132" s="422">
        <x:v>2500</x:v>
      </x:c>
      <x:c r="K132" s="704">
        <x:f>J132*$V$6</x:f>
        <x:v>107500</x:v>
      </x:c>
      <x:c r="L132" s="704">
        <x:f>K132*F132</x:f>
        <x:v>215000</x:v>
      </x:c>
      <x:c r="M132" s="603"/>
    </x:row>
    <x:row r="133" spans="2:13" ht="17.45" customHeight="1">
      <x:c r="B133" s="1425"/>
      <x:c r="C133" s="1418"/>
      <x:c r="D133" s="1418"/>
      <x:c r="E133" s="1407"/>
      <x:c r="F133" s="1407"/>
      <x:c r="G133" s="1407"/>
      <x:c r="H133" s="460" t="s">
        <x:v>592</x:v>
      </x:c>
      <x:c r="I133" s="460" t="s">
        <x:v>593</x:v>
      </x:c>
      <x:c r="J133" s="469">
        <x:v>60</x:v>
      </x:c>
      <x:c r="K133" s="555">
        <x:f>J133*$V$6</x:f>
        <x:v>2580</x:v>
      </x:c>
      <x:c r="L133" s="555">
        <x:f>K133*F132*G132</x:f>
        <x:v>51600</x:v>
      </x:c>
      <x:c r="M133" s="474"/>
    </x:row>
    <x:row r="134" spans="2:13" ht="17.45" customHeight="1">
      <x:c r="B134" s="1425"/>
      <x:c r="C134" s="1418"/>
      <x:c r="D134" s="1418"/>
      <x:c r="E134" s="1407"/>
      <x:c r="F134" s="1407"/>
      <x:c r="G134" s="1407"/>
      <x:c r="H134" s="460" t="s">
        <x:v>592</x:v>
      </x:c>
      <x:c r="I134" s="460" t="s">
        <x:v>594</x:v>
      </x:c>
      <x:c r="J134" s="469">
        <x:v>150</x:v>
      </x:c>
      <x:c r="K134" s="555">
        <x:f>J134*$V$6</x:f>
        <x:v>6450</x:v>
      </x:c>
      <x:c r="L134" s="555">
        <x:f>K134*F132*G132</x:f>
        <x:v>129000</x:v>
      </x:c>
      <x:c r="M134" s="474"/>
    </x:row>
    <x:row r="135" spans="2:13" ht="17.45" customHeight="1">
      <x:c r="B135" s="1425"/>
      <x:c r="C135" s="1418"/>
      <x:c r="D135" s="1418"/>
      <x:c r="E135" s="1407"/>
      <x:c r="F135" s="1407"/>
      <x:c r="G135" s="1407"/>
      <x:c r="H135" s="460" t="s">
        <x:v>592</x:v>
      </x:c>
      <x:c r="I135" s="460" t="s">
        <x:v>595</x:v>
      </x:c>
      <x:c r="J135" s="469">
        <x:v>80</x:v>
      </x:c>
      <x:c r="K135" s="555">
        <x:f>J135*$V$6</x:f>
        <x:v>3440</x:v>
      </x:c>
      <x:c r="L135" s="555">
        <x:f>K135*G132</x:f>
        <x:v>34400</x:v>
      </x:c>
      <x:c r="M135" s="578" t="s">
        <x:v>596</x:v>
      </x:c>
    </x:row>
    <x:row r="136" spans="2:13" ht="17.45" customHeight="1">
      <x:c r="B136" s="1425"/>
      <x:c r="C136" s="1426"/>
      <x:c r="D136" s="1426"/>
      <x:c r="E136" s="1420"/>
      <x:c r="F136" s="1420"/>
      <x:c r="G136" s="1420"/>
      <x:c r="H136" s="460" t="s">
        <x:v>592</x:v>
      </x:c>
      <x:c r="I136" s="536" t="s">
        <x:v>597</x:v>
      </x:c>
      <x:c r="J136" s="745">
        <x:v>25</x:v>
      </x:c>
      <x:c r="K136" s="555">
        <x:f>J136*$V$6</x:f>
        <x:v>1075</x:v>
      </x:c>
      <x:c r="L136" s="756">
        <x:f>K136*F132*G132</x:f>
        <x:v>21500</x:v>
      </x:c>
      <x:c r="M136" s="504"/>
    </x:row>
    <x:row r="137" spans="2:13" ht="17.45" customHeight="1">
      <x:c r="B137" s="1425"/>
      <x:c r="C137" s="1419"/>
      <x:c r="D137" s="1419"/>
      <x:c r="E137" s="1409"/>
      <x:c r="F137" s="1409"/>
      <x:c r="G137" s="1409"/>
      <x:c r="H137" s="748" t="s">
        <x:v>598</x:v>
      </x:c>
      <x:c r="I137" s="748"/>
      <x:c r="J137" s="805" t="s">
        <x:v>287</x:v>
      </x:c>
      <x:c r="K137" s="611">
        <x:f>SUM(K132:K136)</x:f>
        <x:v>121045</x:v>
      </x:c>
      <x:c r="L137" s="476">
        <x:f>SUM(L132:L136)</x:f>
        <x:v>451500</x:v>
      </x:c>
      <x:c r="M137" s="645"/>
    </x:row>
    <x:row r="138" spans="2:13" ht="21" customHeight="1">
      <x:c r="B138" s="382"/>
      <x:c r="C138" s="382"/>
      <x:c r="D138" s="382"/>
      <x:c r="E138" s="382"/>
      <x:c r="F138" s="382"/>
      <x:c r="G138" s="382"/>
      <x:c r="H138" s="382"/>
      <x:c r="I138" s="382"/>
      <x:c r="J138" s="382"/>
      <x:c r="K138" s="382"/>
      <x:c r="L138" s="863">
        <x:f>SUM(L107,L113,L119,L125,L131,L137)</x:f>
        <x:v>2827250</x:v>
      </x:c>
      <x:c r="M138" s="382"/>
    </x:row>
  </x:sheetData>
  <x:autoFilter ref="A40:U92" xr:uid="{D78E0478-7C53-4E34-A790-DC2CC00884DD}"/>
  <x:mergeCells count="124">
    <x:mergeCell ref="B132:B137"/>
    <x:mergeCell ref="C132:C137"/>
    <x:mergeCell ref="D132:D137"/>
    <x:mergeCell ref="E132:E137"/>
    <x:mergeCell ref="F132:F137"/>
    <x:mergeCell ref="G132:G137"/>
    <x:mergeCell ref="B108:B113"/>
    <x:mergeCell ref="C108:C113"/>
    <x:mergeCell ref="D108:D113"/>
    <x:mergeCell ref="E108:E113"/>
    <x:mergeCell ref="F108:F113"/>
    <x:mergeCell ref="G108:G113"/>
    <x:mergeCell ref="B120:B125"/>
    <x:mergeCell ref="C120:C125"/>
    <x:mergeCell ref="D120:D125"/>
    <x:mergeCell ref="E120:E125"/>
    <x:mergeCell ref="F120:F125"/>
    <x:mergeCell ref="G120:G125"/>
    <x:mergeCell ref="B114:B119"/>
    <x:mergeCell ref="C114:C119"/>
    <x:mergeCell ref="D114:D119"/>
    <x:mergeCell ref="E114:E119"/>
    <x:mergeCell ref="F114:F119"/>
    <x:mergeCell ref="G114:G119"/>
    <x:mergeCell ref="B126:B131"/>
    <x:mergeCell ref="C126:C131"/>
    <x:mergeCell ref="D126:D131"/>
    <x:mergeCell ref="E126:E131"/>
    <x:mergeCell ref="F126:F131"/>
    <x:mergeCell ref="G126:G131"/>
    <x:mergeCell ref="H101:I101"/>
    <x:mergeCell ref="B102:B107"/>
    <x:mergeCell ref="C102:C107"/>
    <x:mergeCell ref="D102:D107"/>
    <x:mergeCell ref="E102:E107"/>
    <x:mergeCell ref="F102:F107"/>
    <x:mergeCell ref="G102:G107"/>
    <x:mergeCell ref="B89:B94"/>
    <x:mergeCell ref="C89:C94"/>
    <x:mergeCell ref="D89:D94"/>
    <x:mergeCell ref="E89:E94"/>
    <x:mergeCell ref="F89:F94"/>
    <x:mergeCell ref="G89:G94"/>
    <x:mergeCell ref="B83:B88"/>
    <x:mergeCell ref="C83:C88"/>
    <x:mergeCell ref="D83:D88"/>
    <x:mergeCell ref="E83:E88"/>
    <x:mergeCell ref="F83:F88"/>
    <x:mergeCell ref="G83:G88"/>
    <x:mergeCell ref="B59:B64"/>
    <x:mergeCell ref="C59:C64"/>
    <x:mergeCell ref="D59:D64"/>
    <x:mergeCell ref="E59:E64"/>
    <x:mergeCell ref="F59:F64"/>
    <x:mergeCell ref="G59:G64"/>
    <x:mergeCell ref="B53:B58"/>
    <x:mergeCell ref="C53:C58"/>
    <x:mergeCell ref="D53:D58"/>
    <x:mergeCell ref="B77:B82"/>
    <x:mergeCell ref="C77:C82"/>
    <x:mergeCell ref="D77:D82"/>
    <x:mergeCell ref="E77:E82"/>
    <x:mergeCell ref="F77:F82"/>
    <x:mergeCell ref="G77:G82"/>
    <x:mergeCell ref="B65:B70"/>
    <x:mergeCell ref="C65:C70"/>
    <x:mergeCell ref="D65:D70"/>
    <x:mergeCell ref="E65:E70"/>
    <x:mergeCell ref="F65:F70"/>
    <x:mergeCell ref="G65:G70"/>
    <x:mergeCell ref="B71:B76"/>
    <x:mergeCell ref="C71:C76"/>
    <x:mergeCell ref="D71:D76"/>
    <x:mergeCell ref="E71:E76"/>
    <x:mergeCell ref="F71:F76"/>
    <x:mergeCell ref="G71:G76"/>
    <x:mergeCell ref="C26:C28"/>
    <x:mergeCell ref="D26:D28"/>
    <x:mergeCell ref="B26:B28"/>
    <x:mergeCell ref="B23:B25"/>
    <x:mergeCell ref="T5:T7"/>
    <x:mergeCell ref="B47:B52"/>
    <x:mergeCell ref="C47:C52"/>
    <x:mergeCell ref="D47:D52"/>
    <x:mergeCell ref="E47:E52"/>
    <x:mergeCell ref="F47:F52"/>
    <x:mergeCell ref="G47:G52"/>
    <x:mergeCell ref="B41:B46"/>
    <x:mergeCell ref="C41:C46"/>
    <x:mergeCell ref="D41:D46"/>
    <x:mergeCell ref="B35:B37"/>
    <x:mergeCell ref="C35:C37"/>
    <x:mergeCell ref="D35:D37"/>
    <x:mergeCell ref="C17:C19"/>
    <x:mergeCell ref="C20:C22"/>
    <x:mergeCell ref="D17:D19"/>
    <x:mergeCell ref="D20:D22"/>
    <x:mergeCell ref="E41:E46"/>
    <x:mergeCell ref="F41:F46"/>
    <x:mergeCell ref="G41:G46"/>
    <x:mergeCell ref="G95:G96"/>
    <x:mergeCell ref="G97:G98"/>
    <x:mergeCell ref="B5:C5"/>
    <x:mergeCell ref="B6:C6"/>
    <x:mergeCell ref="B17:B22"/>
    <x:mergeCell ref="B95:B98"/>
    <x:mergeCell ref="D95:D98"/>
    <x:mergeCell ref="C95:C96"/>
    <x:mergeCell ref="C97:C98"/>
    <x:mergeCell ref="E95:E96"/>
    <x:mergeCell ref="F95:F96"/>
    <x:mergeCell ref="E97:E98"/>
    <x:mergeCell ref="F97:F98"/>
    <x:mergeCell ref="E53:E58"/>
    <x:mergeCell ref="F53:F58"/>
    <x:mergeCell ref="G53:G58"/>
    <x:mergeCell ref="C23:C25"/>
    <x:mergeCell ref="D23:D25"/>
    <x:mergeCell ref="B29:B31"/>
    <x:mergeCell ref="C29:C31"/>
    <x:mergeCell ref="D29:D31"/>
    <x:mergeCell ref="B32:B34"/>
    <x:mergeCell ref="C32:C34"/>
    <x:mergeCell ref="D32:D34"/>
  </x:mergeCells>
  <x:phoneticPr fontId="3" type="noConversion"/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68D0F5A-6B64-4BCE-989F-A754BF421B0F}" mc:Ignorable="x14ac xr xr2 xr3">
  <x:sheetPr codeName="Sheet15"/>
  <x:dimension ref="A1:Z11"/>
  <x:sheetViews>
    <x:sheetView topLeftCell="I1" zoomScale="115" zoomScaleNormal="115" workbookViewId="0">
      <x:selection activeCell="B4" sqref="B4"/>
    </x:sheetView>
  </x:sheetViews>
  <x:sheetFormatPr defaultColWidth="8.75" defaultRowHeight="16.5"/>
  <x:cols>
    <x:col min="1" max="1" width="2.25" style="20" customWidth="1"/>
    <x:col min="2" max="4" width="13.75" style="20" customWidth="1"/>
    <x:col min="5" max="6" width="8.5" style="20" customWidth="1"/>
    <x:col min="7" max="10" width="8.5" style="21" customWidth="1"/>
    <x:col min="11" max="11" width="21.25" style="21" customWidth="1"/>
    <x:col min="12" max="12" width="8.5" style="21" customWidth="1"/>
    <x:col min="13" max="25" width="11.75" style="21" customWidth="1"/>
    <x:col min="26" max="26" width="19.75" style="21" customWidth="1"/>
    <x:col min="27" max="16384" width="8.75" style="21"/>
  </x:cols>
  <x:sheetData>
    <x:row r="1" spans="2:26" ht="26.25">
      <x:c r="B1" s="27" t="s">
        <x:v>663</x:v>
      </x:c>
      <x:c r="C1" s="24"/>
      <x:c r="D1" s="21"/>
      <x:c r="E1" s="21"/>
      <x:c r="F1" s="21"/>
      <x:c r="K1" s="27" t="s">
        <x:v>663</x:v>
      </x:c>
      <x:c r="L1" s="24"/>
    </x:row>
    <x:row r="2" spans="2:26" ht="2.4500000000000002" customHeight="1">
      <x:c r="B2" s="29"/>
      <x:c r="C2" s="29"/>
      <x:c r="D2" s="29"/>
      <x:c r="E2" s="29"/>
      <x:c r="F2" s="29"/>
      <x:c r="G2" s="29"/>
      <x:c r="H2" s="29"/>
      <x:c r="K2" s="29"/>
      <x:c r="L2" s="29"/>
      <x:c r="M2" s="29"/>
      <x:c r="N2" s="29"/>
      <x:c r="O2" s="29"/>
      <x:c r="P2" s="29"/>
      <x:c r="Q2" s="29"/>
    </x:row>
    <x:row r="3" spans="2:26" ht="7.9" customHeight="1">
      <x:c r="B3" s="21"/>
      <x:c r="C3" s="21"/>
      <x:c r="D3" s="21"/>
      <x:c r="E3" s="21"/>
      <x:c r="F3" s="21"/>
    </x:row>
    <x:row r="4" spans="2:26" ht="27">
      <x:c r="B4" s="789"/>
      <x:c r="C4" s="693" t="s">
        <x:v>168</x:v>
      </x:c>
      <x:c r="D4" s="789" t="s">
        <x:v>157</x:v>
      </x:c>
      <x:c r="E4" s="789" t="s">
        <x:v>158</x:v>
      </x:c>
      <x:c r="F4" s="693" t="s">
        <x:v>159</x:v>
      </x:c>
      <x:c r="G4" s="628"/>
      <x:c r="H4" s="769"/>
      <x:c r="I4" s="769"/>
      <x:c r="J4" s="769"/>
      <x:c r="K4" s="1360"/>
      <x:c r="L4" s="1360"/>
      <x:c r="M4" s="554" t="s">
        <x:v>169</x:v>
      </x:c>
      <x:c r="N4" s="554" t="s">
        <x:v>170</x:v>
      </x:c>
      <x:c r="O4" s="554" t="s">
        <x:v>171</x:v>
      </x:c>
      <x:c r="P4" s="554" t="s">
        <x:v>172</x:v>
      </x:c>
      <x:c r="Q4" s="554" t="s">
        <x:v>173</x:v>
      </x:c>
      <x:c r="R4" s="554" t="s">
        <x:v>174</x:v>
      </x:c>
      <x:c r="S4" s="554" t="s">
        <x:v>175</x:v>
      </x:c>
      <x:c r="T4" s="554" t="s">
        <x:v>176</x:v>
      </x:c>
      <x:c r="U4" s="554" t="s">
        <x:v>177</x:v>
      </x:c>
      <x:c r="V4" s="554" t="s">
        <x:v>178</x:v>
      </x:c>
      <x:c r="W4" s="554" t="s">
        <x:v>179</x:v>
      </x:c>
      <x:c r="X4" s="554" t="s">
        <x:v>180</x:v>
      </x:c>
      <x:c r="Y4" s="554" t="s">
        <x:v>181</x:v>
      </x:c>
      <x:c r="Z4" s="554" t="s">
        <x:v>208</x:v>
      </x:c>
    </x:row>
    <x:row r="5" spans="2:26">
      <x:c r="B5" s="314" t="s">
        <x:v>160</x:v>
      </x:c>
      <x:c r="C5" s="561">
        <x:v>45942</x:v>
      </x:c>
      <x:c r="D5" s="561">
        <x:v>45450</x:v>
      </x:c>
      <x:c r="E5" s="505"/>
      <x:c r="F5" s="505"/>
      <x:c r="G5" s="628"/>
      <x:c r="H5" s="769"/>
      <x:c r="I5" s="769"/>
      <x:c r="J5" s="769"/>
      <x:c r="K5" s="1430" t="s">
        <x:v>1082</x:v>
      </x:c>
      <x:c r="L5" s="494" t="s">
        <x:v>1084</x:v>
      </x:c>
      <x:c r="M5" s="747"/>
      <x:c r="N5" s="747"/>
      <x:c r="O5" s="747"/>
      <x:c r="P5" s="747"/>
      <x:c r="Q5" s="747"/>
      <x:c r="R5" s="747"/>
      <x:c r="S5" s="747"/>
      <x:c r="T5" s="747"/>
      <x:c r="U5" s="747"/>
      <x:c r="V5" s="765">
        <x:v>1500000</x:v>
      </x:c>
      <x:c r="W5" s="747"/>
      <x:c r="X5" s="747"/>
      <x:c r="Y5" s="765">
        <x:f>V5</x:f>
        <x:v>1500000</x:v>
      </x:c>
      <x:c r="Z5" s="661" t="s">
        <x:v>1509</x:v>
      </x:c>
    </x:row>
    <x:row r="6" spans="2:26">
      <x:c r="B6" s="314" t="s">
        <x:v>161</x:v>
      </x:c>
      <x:c r="C6" s="561">
        <x:v>46307</x:v>
      </x:c>
      <x:c r="D6" s="561">
        <x:v>46544</x:v>
      </x:c>
      <x:c r="E6" s="505"/>
      <x:c r="F6" s="505"/>
      <x:c r="G6" s="628"/>
      <x:c r="H6" s="769"/>
      <x:c r="I6" s="769"/>
      <x:c r="J6" s="769"/>
      <x:c r="K6" s="1431"/>
      <x:c r="L6" s="494" t="s">
        <x:v>1083</x:v>
      </x:c>
      <x:c r="M6" s="747"/>
      <x:c r="N6" s="747"/>
      <x:c r="O6" s="747"/>
      <x:c r="P6" s="747"/>
      <x:c r="Q6" s="747"/>
      <x:c r="R6" s="747"/>
      <x:c r="S6" s="747"/>
      <x:c r="T6" s="747"/>
      <x:c r="U6" s="747"/>
      <x:c r="V6" s="747">
        <x:f>V5*43</x:f>
        <x:v>64500000</x:v>
      </x:c>
      <x:c r="W6" s="747"/>
      <x:c r="X6" s="747"/>
      <x:c r="Y6" s="747">
        <x:f t="shared" ref="Y6:Y8" si="0">V6</x:f>
        <x:v>64500000</x:v>
      </x:c>
      <x:c r="Z6" s="661" t="s">
        <x:v>1509</x:v>
      </x:c>
    </x:row>
    <x:row r="7" spans="2:26">
      <x:c r="B7" s="314" t="s">
        <x:v>162</x:v>
      </x:c>
      <x:c r="C7" s="634">
        <x:v>1500000</x:v>
      </x:c>
      <x:c r="D7" s="634">
        <x:v>1500000</x:v>
      </x:c>
      <x:c r="E7" s="505" t="s">
        <x:v>163</x:v>
      </x:c>
      <x:c r="F7" s="505"/>
      <x:c r="G7" s="628"/>
      <x:c r="H7" s="769"/>
      <x:c r="I7" s="769"/>
      <x:c r="J7" s="769"/>
      <x:c r="K7" s="1430" t="s">
        <x:v>1129</x:v>
      </x:c>
      <x:c r="L7" s="494" t="s">
        <x:v>1084</x:v>
      </x:c>
      <x:c r="M7" s="747"/>
      <x:c r="N7" s="747"/>
      <x:c r="O7" s="747"/>
      <x:c r="P7" s="747"/>
      <x:c r="Q7" s="747"/>
      <x:c r="R7" s="747"/>
      <x:c r="S7" s="747"/>
      <x:c r="T7" s="747"/>
      <x:c r="U7" s="747"/>
      <x:c r="V7" s="765">
        <x:f>V5*C8</x:f>
        <x:v>91500</x:v>
      </x:c>
      <x:c r="W7" s="747"/>
      <x:c r="X7" s="747"/>
      <x:c r="Y7" s="765">
        <x:f t="shared" si="0"/>
        <x:v>91500</x:v>
      </x:c>
      <x:c r="Z7" s="661"/>
    </x:row>
    <x:row r="8" spans="2:26">
      <x:c r="B8" s="314" t="s">
        <x:v>164</x:v>
      </x:c>
      <x:c r="C8" s="635">
        <x:v>6.0999999999999999E-2</x:v>
      </x:c>
      <x:c r="D8" s="635">
        <x:v>4.5999999999999999E-2</x:v>
      </x:c>
      <x:c r="E8" s="505" t="s">
        <x:v>163</x:v>
      </x:c>
      <x:c r="F8" s="505"/>
      <x:c r="G8" s="628"/>
      <x:c r="H8" s="769"/>
      <x:c r="I8" s="769"/>
      <x:c r="J8" s="769"/>
      <x:c r="K8" s="1431"/>
      <x:c r="L8" s="494" t="s">
        <x:v>1083</x:v>
      </x:c>
      <x:c r="M8" s="747"/>
      <x:c r="N8" s="747"/>
      <x:c r="O8" s="747"/>
      <x:c r="P8" s="747"/>
      <x:c r="Q8" s="747"/>
      <x:c r="R8" s="747"/>
      <x:c r="S8" s="747"/>
      <x:c r="T8" s="747"/>
      <x:c r="U8" s="747"/>
      <x:c r="V8" s="747">
        <x:f>V7*'Exchange Rate'!D13</x:f>
        <x:v>3934500</x:v>
      </x:c>
      <x:c r="W8" s="747"/>
      <x:c r="X8" s="747"/>
      <x:c r="Y8" s="747">
        <x:f t="shared" si="0"/>
        <x:v>3934500</x:v>
      </x:c>
      <x:c r="Z8" s="661"/>
    </x:row>
    <x:row r="9" spans="2:26">
      <x:c r="B9" s="314" t="s">
        <x:v>165</x:v>
      </x:c>
      <x:c r="C9" s="634"/>
      <x:c r="D9" s="634"/>
      <x:c r="E9" s="505" t="s">
        <x:v>163</x:v>
      </x:c>
      <x:c r="F9" s="505"/>
      <x:c r="G9" s="628"/>
      <x:c r="H9" s="769"/>
      <x:c r="I9" s="769"/>
      <x:c r="J9" s="769"/>
      <x:c r="K9" s="769"/>
      <x:c r="L9" s="769"/>
      <x:c r="M9" s="769"/>
      <x:c r="N9" s="769"/>
      <x:c r="O9" s="769"/>
      <x:c r="P9" s="769"/>
      <x:c r="Q9" s="769"/>
      <x:c r="R9" s="769"/>
      <x:c r="S9" s="769"/>
      <x:c r="T9" s="769"/>
      <x:c r="U9" s="769"/>
      <x:c r="V9" s="769"/>
      <x:c r="W9" s="769"/>
      <x:c r="X9" s="769"/>
      <x:c r="Y9" s="769"/>
      <x:c r="Z9" s="769"/>
    </x:row>
    <x:row r="10" spans="2:26">
      <x:c r="B10" s="314" t="s">
        <x:v>166</x:v>
      </x:c>
      <x:c r="C10" s="634"/>
      <x:c r="D10" s="634"/>
      <x:c r="E10" s="505" t="s">
        <x:v>163</x:v>
      </x:c>
      <x:c r="F10" s="505"/>
      <x:c r="G10" s="628"/>
      <x:c r="H10" s="769"/>
      <x:c r="I10" s="769"/>
      <x:c r="J10" s="769"/>
      <x:c r="K10" s="769"/>
      <x:c r="L10" s="769"/>
      <x:c r="M10" s="769"/>
      <x:c r="N10" s="769"/>
      <x:c r="O10" s="769"/>
      <x:c r="P10" s="769"/>
      <x:c r="Q10" s="769"/>
      <x:c r="R10" s="769"/>
      <x:c r="S10" s="769"/>
      <x:c r="T10" s="769"/>
      <x:c r="U10" s="769"/>
      <x:c r="V10" s="769"/>
      <x:c r="W10" s="769"/>
      <x:c r="X10" s="769"/>
      <x:c r="Y10" s="769"/>
      <x:c r="Z10" s="769"/>
    </x:row>
    <x:row r="11" spans="2:26">
      <x:c r="B11" s="314" t="s">
        <x:v>166</x:v>
      </x:c>
      <x:c r="C11" s="629"/>
      <x:c r="D11" s="629"/>
      <x:c r="E11" s="505" t="s">
        <x:v>167</x:v>
      </x:c>
      <x:c r="F11" s="525"/>
      <x:c r="G11" s="628"/>
      <x:c r="H11" s="769"/>
      <x:c r="I11" s="769"/>
      <x:c r="J11" s="769"/>
      <x:c r="K11" s="769"/>
      <x:c r="L11" s="769"/>
      <x:c r="M11" s="769"/>
      <x:c r="N11" s="769"/>
      <x:c r="O11" s="769"/>
      <x:c r="P11" s="769"/>
      <x:c r="Q11" s="769"/>
      <x:c r="R11" s="769"/>
      <x:c r="S11" s="769"/>
      <x:c r="T11" s="769"/>
      <x:c r="U11" s="769"/>
      <x:c r="V11" s="769"/>
      <x:c r="W11" s="769"/>
      <x:c r="X11" s="769"/>
      <x:c r="Y11" s="769"/>
      <x:c r="Z11" s="769"/>
    </x:row>
  </x:sheetData>
  <x:mergeCells count="3">
    <x:mergeCell ref="K4:L4"/>
    <x:mergeCell ref="K5:K6"/>
    <x:mergeCell ref="K7:K8"/>
  </x:mergeCells>
  <x:phoneticPr fontId="3" type="noConversion"/>
  <x:pageMargins left="0.7" right="0.7" top="0.75" bottom="0.75" header="0.3" footer="0.3"/>
  <x:pageSetup paperSize="9" orientation="portrait" r:id="rId1"/>
  <x:drawing r:id="rId2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7B4F19A-27DE-4F3C-8813-74D5871F559F}" mc:Ignorable="x14ac xr xr2 xr3">
  <x:dimension ref="B2:Q107"/>
  <x:sheetViews>
    <x:sheetView showGridLines="0" topLeftCell="A2" zoomScale="70" zoomScaleNormal="70" workbookViewId="0">
      <x:pane ySplit="4" topLeftCell="A6" activePane="bottomLeft" state="frozen"/>
      <x:selection activeCell="A2" sqref="A2"/>
      <x:selection pane="bottomLeft" activeCell="B9" sqref="B9"/>
    </x:sheetView>
  </x:sheetViews>
  <x:sheetFormatPr defaultColWidth="8.75" defaultRowHeight="16.5"/>
  <x:cols>
    <x:col min="1" max="1" width="2.5" style="877" customWidth="1"/>
    <x:col min="2" max="2" width="10.375" style="877" customWidth="1"/>
    <x:col min="3" max="3" width="74.25" style="877" customWidth="1"/>
    <x:col min="4" max="4" width="15.125" style="878" customWidth="1"/>
    <x:col min="5" max="11" width="12.125" style="877" customWidth="1"/>
    <x:col min="12" max="12" width="13" style="877" bestFit="1" customWidth="1"/>
    <x:col min="13" max="13" width="15.5" style="877" bestFit="1" customWidth="1"/>
    <x:col min="14" max="14" width="13.125" style="877" bestFit="1" customWidth="1"/>
    <x:col min="15" max="15" width="12.625" style="877" bestFit="1" customWidth="1"/>
    <x:col min="16" max="16" width="18.375" style="877" bestFit="1" customWidth="1"/>
    <x:col min="17" max="17" width="12.25" style="876" bestFit="1" customWidth="1"/>
    <x:col min="18" max="16384" width="8.75" style="877"/>
  </x:cols>
  <x:sheetData>
    <x:row r="2" spans="2:16" s="21" customFormat="1" ht="31.5">
      <x:c r="B2" s="26" t="s">
        <x:v>987</x:v>
      </x:c>
      <x:c r="D2" s="26"/>
      <x:c r="E2" s="26"/>
      <x:c r="F2" s="26"/>
    </x:row>
    <x:row r="3" spans="2:16" s="21" customFormat="1" ht="2.4500000000000002" customHeight="1">
      <x:c r="B3" s="29"/>
      <x:c r="C3" s="29"/>
      <x:c r="D3" s="29"/>
      <x:c r="E3" s="29"/>
      <x:c r="F3" s="29"/>
      <x:c r="G3" s="29"/>
      <x:c r="H3" s="29"/>
      <x:c r="I3" s="29"/>
    </x:row>
    <x:row r="4" spans="2:16" s="876" customFormat="1" ht="12" customHeight="1" thickBot="1"/>
    <x:row r="5" spans="2:16" s="876" customFormat="1" ht="50.1" customHeight="1" thickTop="1">
      <x:c r="B5" s="880" t="s">
        <x:v>1287</x:v>
      </x:c>
      <x:c r="C5" s="880" t="s">
        <x:v>1131</x:v>
      </x:c>
      <x:c r="D5" s="881" t="s">
        <x:v>1288</x:v>
      </x:c>
      <x:c r="E5" s="881" t="s">
        <x:v>1289</x:v>
      </x:c>
      <x:c r="F5" s="881" t="s">
        <x:v>1290</x:v>
      </x:c>
      <x:c r="G5" s="881" t="s">
        <x:v>1291</x:v>
      </x:c>
      <x:c r="H5" s="933">
        <x:v>2025</x:v>
      </x:c>
      <x:c r="I5" s="882" t="s">
        <x:v>1292</x:v>
      </x:c>
      <x:c r="J5" s="881" t="s">
        <x:v>1293</x:v>
      </x:c>
      <x:c r="K5" s="881" t="s">
        <x:v>1294</x:v>
      </x:c>
      <x:c r="L5" s="880" t="s">
        <x:v>1295</x:v>
      </x:c>
      <x:c r="M5" s="880" t="s">
        <x:v>1296</x:v>
      </x:c>
      <x:c r="N5" s="880" t="s">
        <x:v>1297</x:v>
      </x:c>
      <x:c r="O5" s="898" t="s">
        <x:v>1298</x:v>
      </x:c>
      <x:c r="P5" s="899" t="s">
        <x:v>1299</x:v>
      </x:c>
    </x:row>
    <x:row r="6" spans="2:16" s="876" customFormat="1">
      <x:c r="B6" s="883" t="s">
        <x:v>1300</x:v>
      </x:c>
      <x:c r="C6" s="883" t="s">
        <x:v>1301</x:v>
      </x:c>
      <x:c r="D6" s="884">
        <x:v>4</x:v>
      </x:c>
      <x:c r="E6" s="885">
        <x:v>45373</x:v>
      </x:c>
      <x:c r="F6" s="885">
        <x:f>+EDATE(E6,D6*12)</x:f>
        <x:v>46834</x:v>
      </x:c>
      <x:c r="G6" s="886">
        <x:f>+(YEAR(F6)-YEAR(E6))*4+(INT((MONTH(F6)-1)/3)+1)-(INT((MONTH(E6)-1)/3)+1)</x:f>
        <x:v>16</x:v>
      </x:c>
      <x:c r="H6" s="885">
        <x:v>46022</x:v>
      </x:c>
      <x:c r="I6" s="886">
        <x:f t="shared" ref="I6:I69" si="0">+(YEAR(H6)-YEAR(E6))*4+(INT((MONTH(H6)-1)/3)+1)-(INT((MONTH(E6)-1)/3)+1)+1</x:f>
        <x:v>8</x:v>
      </x:c>
      <x:c r="J6" s="886">
        <x:f>+G6-I6</x:f>
        <x:v>8</x:v>
      </x:c>
      <x:c r="K6" s="886">
        <x:f>IF(J6&lt;4,J6,4)</x:f>
        <x:v>4</x:v>
      </x:c>
      <x:c r="L6" s="901">
        <x:v>1448334.06</x:v>
      </x:c>
      <x:c r="M6" s="901">
        <x:f t="shared" ref="M6:M69" si="1">+L6/G6</x:f>
        <x:v>90520.878750000003</x:v>
      </x:c>
      <x:c r="N6" s="901">
        <x:f t="shared" ref="N6:N69" si="2">+M6*I6</x:f>
        <x:v>724167.03</x:v>
      </x:c>
      <x:c r="O6" s="940">
        <x:f t="shared" ref="O6:O69" si="3">+L6-N6</x:f>
        <x:v>724167.03</x:v>
      </x:c>
      <x:c r="P6" s="942">
        <x:f>+M6*K6</x:f>
        <x:v>362083.51500000001</x:v>
      </x:c>
    </x:row>
    <x:row r="7" spans="2:16" s="876" customFormat="1">
      <x:c r="B7" s="887" t="s">
        <x:v>1302</x:v>
      </x:c>
      <x:c r="C7" s="887" t="s">
        <x:v>1303</x:v>
      </x:c>
      <x:c r="D7" s="888">
        <x:v>5</x:v>
      </x:c>
      <x:c r="E7" s="889">
        <x:v>44718</x:v>
      </x:c>
      <x:c r="F7" s="889">
        <x:f t="shared" ref="F7:F70" si="4">+EDATE(E7,D7*12)</x:f>
        <x:v>46544</x:v>
      </x:c>
      <x:c r="G7" s="890">
        <x:f t="shared" ref="G7:G70" si="5">+(YEAR(F7)-YEAR(E7))*4+(INT((MONTH(F7)-1)/3)+1)-(INT((MONTH(E7)-1)/3)+1)</x:f>
        <x:v>20</x:v>
      </x:c>
      <x:c r="H7" s="889">
        <x:v>46022</x:v>
      </x:c>
      <x:c r="I7" s="890">
        <x:f t="shared" si="0"/>
        <x:v>15</x:v>
      </x:c>
      <x:c r="J7" s="890">
        <x:f t="shared" ref="J7:J70" si="6">+G7-I7</x:f>
        <x:v>5</x:v>
      </x:c>
      <x:c r="K7" s="890">
        <x:f t="shared" ref="K7:K70" si="7">IF(J7&lt;4,J7,4)</x:f>
        <x:v>4</x:v>
      </x:c>
      <x:c r="L7" s="902">
        <x:v>8512.01</x:v>
      </x:c>
      <x:c r="M7" s="902">
        <x:f t="shared" si="1"/>
        <x:v>425.60050000000001</x:v>
      </x:c>
      <x:c r="N7" s="902">
        <x:f t="shared" si="2"/>
        <x:v>6384.0074999999997</x:v>
      </x:c>
      <x:c r="O7" s="903">
        <x:f t="shared" si="3"/>
        <x:v>2128.0025000000005</x:v>
      </x:c>
      <x:c r="P7" s="900">
        <x:f t="shared" ref="P7:P70" si="8">+M7*K7</x:f>
        <x:v>1702.402</x:v>
      </x:c>
    </x:row>
    <x:row r="8" spans="2:16" s="876" customFormat="1">
      <x:c r="B8" s="887" t="s">
        <x:v>1304</x:v>
      </x:c>
      <x:c r="C8" s="887" t="s">
        <x:v>1305</x:v>
      </x:c>
      <x:c r="D8" s="888">
        <x:v>5</x:v>
      </x:c>
      <x:c r="E8" s="889">
        <x:v>44718</x:v>
      </x:c>
      <x:c r="F8" s="889">
        <x:f t="shared" si="4"/>
        <x:v>46544</x:v>
      </x:c>
      <x:c r="G8" s="890">
        <x:f t="shared" si="5"/>
        <x:v>20</x:v>
      </x:c>
      <x:c r="H8" s="889">
        <x:v>46022</x:v>
      </x:c>
      <x:c r="I8" s="890">
        <x:f t="shared" si="0"/>
        <x:v>15</x:v>
      </x:c>
      <x:c r="J8" s="890">
        <x:f t="shared" si="6"/>
        <x:v>5</x:v>
      </x:c>
      <x:c r="K8" s="890">
        <x:f t="shared" si="7"/>
        <x:v>4</x:v>
      </x:c>
      <x:c r="L8" s="902">
        <x:v>19086.849999999999</x:v>
      </x:c>
      <x:c r="M8" s="902">
        <x:f t="shared" si="1"/>
        <x:v>954.34249999999997</x:v>
      </x:c>
      <x:c r="N8" s="902">
        <x:f t="shared" si="2"/>
        <x:v>14315.137499999999</x:v>
      </x:c>
      <x:c r="O8" s="903">
        <x:f t="shared" si="3"/>
        <x:v>4771.7124999999996</x:v>
      </x:c>
      <x:c r="P8" s="900">
        <x:f t="shared" si="8"/>
        <x:v>3817.37</x:v>
      </x:c>
    </x:row>
    <x:row r="9" spans="2:16" s="876" customFormat="1">
      <x:c r="B9" s="887" t="s">
        <x:v>1306</x:v>
      </x:c>
      <x:c r="C9" s="887" t="s">
        <x:v>1307</x:v>
      </x:c>
      <x:c r="D9" s="888">
        <x:v>4</x:v>
      </x:c>
      <x:c r="E9" s="889">
        <x:v>44768</x:v>
      </x:c>
      <x:c r="F9" s="889">
        <x:f t="shared" si="4"/>
        <x:v>46229</x:v>
      </x:c>
      <x:c r="G9" s="890">
        <x:f t="shared" si="5"/>
        <x:v>16</x:v>
      </x:c>
      <x:c r="H9" s="889">
        <x:v>46022</x:v>
      </x:c>
      <x:c r="I9" s="890">
        <x:f t="shared" si="0"/>
        <x:v>14</x:v>
      </x:c>
      <x:c r="J9" s="890">
        <x:f t="shared" si="6"/>
        <x:v>2</x:v>
      </x:c>
      <x:c r="K9" s="890">
        <x:f t="shared" si="7"/>
        <x:v>2</x:v>
      </x:c>
      <x:c r="L9" s="902">
        <x:v>39398.22</x:v>
      </x:c>
      <x:c r="M9" s="902">
        <x:f t="shared" si="1"/>
        <x:v>2462.3887500000001</x:v>
      </x:c>
      <x:c r="N9" s="902">
        <x:f t="shared" si="2"/>
        <x:v>34473.442500000005</x:v>
      </x:c>
      <x:c r="O9" s="903">
        <x:f t="shared" si="3"/>
        <x:v>4924.7774999999965</x:v>
      </x:c>
      <x:c r="P9" s="900">
        <x:f t="shared" si="8"/>
        <x:v>4924.7775000000001</x:v>
      </x:c>
    </x:row>
    <x:row r="10" spans="2:16" s="876" customFormat="1">
      <x:c r="B10" s="887" t="s">
        <x:v>1308</x:v>
      </x:c>
      <x:c r="C10" s="887" t="s">
        <x:v>1309</x:v>
      </x:c>
      <x:c r="D10" s="888">
        <x:v>4</x:v>
      </x:c>
      <x:c r="E10" s="889">
        <x:v>44768</x:v>
      </x:c>
      <x:c r="F10" s="889">
        <x:f t="shared" si="4"/>
        <x:v>46229</x:v>
      </x:c>
      <x:c r="G10" s="890">
        <x:f t="shared" si="5"/>
        <x:v>16</x:v>
      </x:c>
      <x:c r="H10" s="889">
        <x:v>46022</x:v>
      </x:c>
      <x:c r="I10" s="890">
        <x:f t="shared" si="0"/>
        <x:v>14</x:v>
      </x:c>
      <x:c r="J10" s="890">
        <x:f t="shared" si="6"/>
        <x:v>2</x:v>
      </x:c>
      <x:c r="K10" s="890">
        <x:f t="shared" si="7"/>
        <x:v>2</x:v>
      </x:c>
      <x:c r="L10" s="902">
        <x:v>10594.28</x:v>
      </x:c>
      <x:c r="M10" s="902">
        <x:f t="shared" si="1"/>
        <x:v>662.14250000000004</x:v>
      </x:c>
      <x:c r="N10" s="902">
        <x:f t="shared" si="2"/>
        <x:v>9269.9950000000008</x:v>
      </x:c>
      <x:c r="O10" s="903">
        <x:f t="shared" si="3"/>
        <x:v>1324.2849999999999</x:v>
      </x:c>
      <x:c r="P10" s="900">
        <x:f t="shared" si="8"/>
        <x:v>1324.2850000000001</x:v>
      </x:c>
    </x:row>
    <x:row r="11" spans="2:16" s="876" customFormat="1">
      <x:c r="B11" s="887" t="s">
        <x:v>1310</x:v>
      </x:c>
      <x:c r="C11" s="887" t="s">
        <x:v>1311</x:v>
      </x:c>
      <x:c r="D11" s="888">
        <x:v>5</x:v>
      </x:c>
      <x:c r="E11" s="889">
        <x:v>44768</x:v>
      </x:c>
      <x:c r="F11" s="889">
        <x:f t="shared" si="4"/>
        <x:v>46594</x:v>
      </x:c>
      <x:c r="G11" s="890">
        <x:f t="shared" si="5"/>
        <x:v>20</x:v>
      </x:c>
      <x:c r="H11" s="889">
        <x:v>46022</x:v>
      </x:c>
      <x:c r="I11" s="890">
        <x:f t="shared" si="0"/>
        <x:v>14</x:v>
      </x:c>
      <x:c r="J11" s="890">
        <x:f t="shared" si="6"/>
        <x:v>6</x:v>
      </x:c>
      <x:c r="K11" s="890">
        <x:f t="shared" si="7"/>
        <x:v>4</x:v>
      </x:c>
      <x:c r="L11" s="902">
        <x:v>21004.11</x:v>
      </x:c>
      <x:c r="M11" s="902">
        <x:f t="shared" si="1"/>
        <x:v>1050.2055</x:v>
      </x:c>
      <x:c r="N11" s="902">
        <x:f t="shared" si="2"/>
        <x:v>14702.877</x:v>
      </x:c>
      <x:c r="O11" s="903">
        <x:f t="shared" si="3"/>
        <x:v>6301.2330000000002</x:v>
      </x:c>
      <x:c r="P11" s="900">
        <x:f t="shared" si="8"/>
        <x:v>4200.8220000000001</x:v>
      </x:c>
    </x:row>
    <x:row r="12" spans="2:16" s="876" customFormat="1">
      <x:c r="B12" s="887" t="s">
        <x:v>1312</x:v>
      </x:c>
      <x:c r="C12" s="887" t="s">
        <x:v>1313</x:v>
      </x:c>
      <x:c r="D12" s="888">
        <x:v>10</x:v>
      </x:c>
      <x:c r="E12" s="889">
        <x:v>44768</x:v>
      </x:c>
      <x:c r="F12" s="889">
        <x:f t="shared" si="4"/>
        <x:v>48421</x:v>
      </x:c>
      <x:c r="G12" s="890">
        <x:f t="shared" si="5"/>
        <x:v>40</x:v>
      </x:c>
      <x:c r="H12" s="889">
        <x:v>46022</x:v>
      </x:c>
      <x:c r="I12" s="890">
        <x:f t="shared" si="0"/>
        <x:v>14</x:v>
      </x:c>
      <x:c r="J12" s="890">
        <x:f t="shared" si="6"/>
        <x:v>26</x:v>
      </x:c>
      <x:c r="K12" s="890">
        <x:f t="shared" si="7"/>
        <x:v>4</x:v>
      </x:c>
      <x:c r="L12" s="902">
        <x:v>9222.5</x:v>
      </x:c>
      <x:c r="M12" s="902">
        <x:f t="shared" si="1"/>
        <x:v>230.5625</x:v>
      </x:c>
      <x:c r="N12" s="902">
        <x:f t="shared" si="2"/>
        <x:v>3227.875</x:v>
      </x:c>
      <x:c r="O12" s="903">
        <x:f t="shared" si="3"/>
        <x:v>5994.625</x:v>
      </x:c>
      <x:c r="P12" s="900">
        <x:f t="shared" si="8"/>
        <x:v>922.25</x:v>
      </x:c>
    </x:row>
    <x:row r="13" spans="2:16" s="876" customFormat="1">
      <x:c r="B13" s="887" t="s">
        <x:v>1314</x:v>
      </x:c>
      <x:c r="C13" s="887" t="s">
        <x:v>1315</x:v>
      </x:c>
      <x:c r="D13" s="888">
        <x:v>5</x:v>
      </x:c>
      <x:c r="E13" s="889">
        <x:v>44788</x:v>
      </x:c>
      <x:c r="F13" s="889">
        <x:f t="shared" si="4"/>
        <x:v>46614</x:v>
      </x:c>
      <x:c r="G13" s="890">
        <x:f t="shared" si="5"/>
        <x:v>20</x:v>
      </x:c>
      <x:c r="H13" s="889">
        <x:v>46022</x:v>
      </x:c>
      <x:c r="I13" s="890">
        <x:f t="shared" si="0"/>
        <x:v>14</x:v>
      </x:c>
      <x:c r="J13" s="890">
        <x:f t="shared" si="6"/>
        <x:v>6</x:v>
      </x:c>
      <x:c r="K13" s="890">
        <x:f t="shared" si="7"/>
        <x:v>4</x:v>
      </x:c>
      <x:c r="L13" s="902">
        <x:v>6206.87</x:v>
      </x:c>
      <x:c r="M13" s="902">
        <x:f t="shared" si="1"/>
        <x:v>310.34350000000001</x:v>
      </x:c>
      <x:c r="N13" s="902">
        <x:f t="shared" si="2"/>
        <x:v>4344.8090000000002</x:v>
      </x:c>
      <x:c r="O13" s="903">
        <x:f t="shared" si="3"/>
        <x:v>1862.0609999999997</x:v>
      </x:c>
      <x:c r="P13" s="900">
        <x:f t="shared" si="8"/>
        <x:v>1241.374</x:v>
      </x:c>
    </x:row>
    <x:row r="14" spans="2:16" s="876" customFormat="1">
      <x:c r="B14" s="887" t="s">
        <x:v>1316</x:v>
      </x:c>
      <x:c r="C14" s="887" t="s">
        <x:v>1317</x:v>
      </x:c>
      <x:c r="D14" s="888">
        <x:v>5</x:v>
      </x:c>
      <x:c r="E14" s="889">
        <x:v>44788</x:v>
      </x:c>
      <x:c r="F14" s="889">
        <x:f t="shared" si="4"/>
        <x:v>46614</x:v>
      </x:c>
      <x:c r="G14" s="890">
        <x:f t="shared" si="5"/>
        <x:v>20</x:v>
      </x:c>
      <x:c r="H14" s="889">
        <x:v>46022</x:v>
      </x:c>
      <x:c r="I14" s="890">
        <x:f t="shared" si="0"/>
        <x:v>14</x:v>
      </x:c>
      <x:c r="J14" s="890">
        <x:f t="shared" si="6"/>
        <x:v>6</x:v>
      </x:c>
      <x:c r="K14" s="890">
        <x:f t="shared" si="7"/>
        <x:v>4</x:v>
      </x:c>
      <x:c r="L14" s="902">
        <x:v>8187.43</x:v>
      </x:c>
      <x:c r="M14" s="902">
        <x:f t="shared" si="1"/>
        <x:v>409.37150000000003</x:v>
      </x:c>
      <x:c r="N14" s="902">
        <x:f t="shared" si="2"/>
        <x:v>5731.201</x:v>
      </x:c>
      <x:c r="O14" s="903">
        <x:f t="shared" si="3"/>
        <x:v>2456.2290000000003</x:v>
      </x:c>
      <x:c r="P14" s="900">
        <x:f t="shared" si="8"/>
        <x:v>1637.4860000000001</x:v>
      </x:c>
    </x:row>
    <x:row r="15" spans="2:16" s="876" customFormat="1">
      <x:c r="B15" s="887" t="s">
        <x:v>1318</x:v>
      </x:c>
      <x:c r="C15" s="887" t="s">
        <x:v>1319</x:v>
      </x:c>
      <x:c r="D15" s="888">
        <x:v>4</x:v>
      </x:c>
      <x:c r="E15" s="889">
        <x:v>44781</x:v>
      </x:c>
      <x:c r="F15" s="889">
        <x:f t="shared" si="4"/>
        <x:v>46242</x:v>
      </x:c>
      <x:c r="G15" s="890">
        <x:f t="shared" si="5"/>
        <x:v>16</x:v>
      </x:c>
      <x:c r="H15" s="889">
        <x:v>46022</x:v>
      </x:c>
      <x:c r="I15" s="890">
        <x:f t="shared" si="0"/>
        <x:v>14</x:v>
      </x:c>
      <x:c r="J15" s="890">
        <x:f t="shared" si="6"/>
        <x:v>2</x:v>
      </x:c>
      <x:c r="K15" s="890">
        <x:f t="shared" si="7"/>
        <x:v>2</x:v>
      </x:c>
      <x:c r="L15" s="902">
        <x:v>38764.46</x:v>
      </x:c>
      <x:c r="M15" s="902">
        <x:f t="shared" si="1"/>
        <x:v>2422.7787499999999</x:v>
      </x:c>
      <x:c r="N15" s="902">
        <x:f t="shared" si="2"/>
        <x:v>33918.902499999997</x:v>
      </x:c>
      <x:c r="O15" s="903">
        <x:f t="shared" si="3"/>
        <x:v>4845.5575000000026</x:v>
      </x:c>
      <x:c r="P15" s="900">
        <x:f t="shared" si="8"/>
        <x:v>4845.5574999999999</x:v>
      </x:c>
    </x:row>
    <x:row r="16" spans="2:16" s="876" customFormat="1">
      <x:c r="B16" s="887" t="s">
        <x:v>1320</x:v>
      </x:c>
      <x:c r="C16" s="887" t="s">
        <x:v>1321</x:v>
      </x:c>
      <x:c r="D16" s="888">
        <x:v>3</x:v>
      </x:c>
      <x:c r="E16" s="889">
        <x:v>44781</x:v>
      </x:c>
      <x:c r="F16" s="889">
        <x:f t="shared" si="4"/>
        <x:v>45877</x:v>
      </x:c>
      <x:c r="G16" s="890">
        <x:f t="shared" si="5"/>
        <x:v>12</x:v>
      </x:c>
      <x:c r="H16" s="889">
        <x:v>45838</x:v>
      </x:c>
      <x:c r="I16" s="890">
        <x:f t="shared" si="0"/>
        <x:v>12</x:v>
      </x:c>
      <x:c r="J16" s="890">
        <x:f t="shared" si="6"/>
        <x:v>0</x:v>
      </x:c>
      <x:c r="K16" s="890">
        <x:f t="shared" si="7"/>
        <x:v>0</x:v>
      </x:c>
      <x:c r="L16" s="902">
        <x:v>9630.06</x:v>
      </x:c>
      <x:c r="M16" s="902">
        <x:f t="shared" si="1"/>
        <x:v>802.505</x:v>
      </x:c>
      <x:c r="N16" s="902">
        <x:f t="shared" si="2"/>
        <x:v>9630.06</x:v>
      </x:c>
      <x:c r="O16" s="903">
        <x:f t="shared" si="3"/>
        <x:v>0</x:v>
      </x:c>
      <x:c r="P16" s="900">
        <x:f t="shared" si="8"/>
        <x:v>0</x:v>
      </x:c>
    </x:row>
    <x:row r="17" spans="2:16" s="876" customFormat="1">
      <x:c r="B17" s="887" t="s">
        <x:v>1322</x:v>
      </x:c>
      <x:c r="C17" s="887" t="s">
        <x:v>1323</x:v>
      </x:c>
      <x:c r="D17" s="888">
        <x:v>3</x:v>
      </x:c>
      <x:c r="E17" s="889">
        <x:v>44701</x:v>
      </x:c>
      <x:c r="F17" s="889">
        <x:f t="shared" si="4"/>
        <x:v>45797</x:v>
      </x:c>
      <x:c r="G17" s="890">
        <x:f t="shared" si="5"/>
        <x:v>12</x:v>
      </x:c>
      <x:c r="H17" s="889">
        <x:v>45746</x:v>
      </x:c>
      <x:c r="I17" s="890">
        <x:f t="shared" si="0"/>
        <x:v>12</x:v>
      </x:c>
      <x:c r="J17" s="890">
        <x:f t="shared" si="6"/>
        <x:v>0</x:v>
      </x:c>
      <x:c r="K17" s="890">
        <x:f t="shared" si="7"/>
        <x:v>0</x:v>
      </x:c>
      <x:c r="L17" s="902">
        <x:v>42659.61</x:v>
      </x:c>
      <x:c r="M17" s="902">
        <x:f t="shared" si="1"/>
        <x:v>3554.9675000000002</x:v>
      </x:c>
      <x:c r="N17" s="902">
        <x:f t="shared" si="2"/>
        <x:v>42659.61</x:v>
      </x:c>
      <x:c r="O17" s="903">
        <x:f t="shared" si="3"/>
        <x:v>0</x:v>
      </x:c>
      <x:c r="P17" s="900">
        <x:f t="shared" si="8"/>
        <x:v>0</x:v>
      </x:c>
    </x:row>
    <x:row r="18" spans="2:16" s="876" customFormat="1">
      <x:c r="B18" s="887" t="s">
        <x:v>1324</x:v>
      </x:c>
      <x:c r="C18" s="887" t="s">
        <x:v>1325</x:v>
      </x:c>
      <x:c r="D18" s="888">
        <x:v>4</x:v>
      </x:c>
      <x:c r="E18" s="889">
        <x:v>44813</x:v>
      </x:c>
      <x:c r="F18" s="889">
        <x:f t="shared" si="4"/>
        <x:v>46274</x:v>
      </x:c>
      <x:c r="G18" s="890">
        <x:f t="shared" si="5"/>
        <x:v>16</x:v>
      </x:c>
      <x:c r="H18" s="889">
        <x:v>46022</x:v>
      </x:c>
      <x:c r="I18" s="890">
        <x:f t="shared" si="0"/>
        <x:v>14</x:v>
      </x:c>
      <x:c r="J18" s="890">
        <x:f t="shared" si="6"/>
        <x:v>2</x:v>
      </x:c>
      <x:c r="K18" s="890">
        <x:f t="shared" si="7"/>
        <x:v>2</x:v>
      </x:c>
      <x:c r="L18" s="902">
        <x:v>75162.539999999994</x:v>
      </x:c>
      <x:c r="M18" s="902">
        <x:f t="shared" si="1"/>
        <x:v>4697.6587499999996</x:v>
      </x:c>
      <x:c r="N18" s="902">
        <x:f t="shared" si="2"/>
        <x:v>65767.222499999989</x:v>
      </x:c>
      <x:c r="O18" s="903">
        <x:f t="shared" si="3"/>
        <x:v>9395.3175000000047</x:v>
      </x:c>
      <x:c r="P18" s="900">
        <x:f t="shared" si="8"/>
        <x:v>9395.3174999999992</x:v>
      </x:c>
    </x:row>
    <x:row r="19" spans="2:16" s="876" customFormat="1">
      <x:c r="B19" s="887" t="s">
        <x:v>1326</x:v>
      </x:c>
      <x:c r="C19" s="887" t="s">
        <x:v>1327</x:v>
      </x:c>
      <x:c r="D19" s="888">
        <x:v>4</x:v>
      </x:c>
      <x:c r="E19" s="889">
        <x:v>44838</x:v>
      </x:c>
      <x:c r="F19" s="889">
        <x:f t="shared" si="4"/>
        <x:v>46299</x:v>
      </x:c>
      <x:c r="G19" s="890">
        <x:f t="shared" si="5"/>
        <x:v>16</x:v>
      </x:c>
      <x:c r="H19" s="889">
        <x:v>46022</x:v>
      </x:c>
      <x:c r="I19" s="890">
        <x:f t="shared" si="0"/>
        <x:v>13</x:v>
      </x:c>
      <x:c r="J19" s="890">
        <x:f t="shared" si="6"/>
        <x:v>3</x:v>
      </x:c>
      <x:c r="K19" s="890">
        <x:f t="shared" si="7"/>
        <x:v>3</x:v>
      </x:c>
      <x:c r="L19" s="902">
        <x:v>2996.41</x:v>
      </x:c>
      <x:c r="M19" s="902">
        <x:f t="shared" si="1"/>
        <x:v>187.27562499999999</x:v>
      </x:c>
      <x:c r="N19" s="902">
        <x:f t="shared" si="2"/>
        <x:v>2434.5831250000001</x:v>
      </x:c>
      <x:c r="O19" s="903">
        <x:f t="shared" si="3"/>
        <x:v>561.82687499999975</x:v>
      </x:c>
      <x:c r="P19" s="900">
        <x:f t="shared" si="8"/>
        <x:v>561.82687499999997</x:v>
      </x:c>
    </x:row>
    <x:row r="20" spans="2:16" s="876" customFormat="1">
      <x:c r="B20" s="887" t="s">
        <x:v>1328</x:v>
      </x:c>
      <x:c r="C20" s="887" t="s">
        <x:v>1327</x:v>
      </x:c>
      <x:c r="D20" s="888">
        <x:v>4</x:v>
      </x:c>
      <x:c r="E20" s="889">
        <x:v>44838</x:v>
      </x:c>
      <x:c r="F20" s="889">
        <x:f t="shared" si="4"/>
        <x:v>46299</x:v>
      </x:c>
      <x:c r="G20" s="890">
        <x:f t="shared" si="5"/>
        <x:v>16</x:v>
      </x:c>
      <x:c r="H20" s="889">
        <x:v>46022</x:v>
      </x:c>
      <x:c r="I20" s="890">
        <x:f t="shared" si="0"/>
        <x:v>13</x:v>
      </x:c>
      <x:c r="J20" s="890">
        <x:f t="shared" si="6"/>
        <x:v>3</x:v>
      </x:c>
      <x:c r="K20" s="890">
        <x:f t="shared" si="7"/>
        <x:v>3</x:v>
      </x:c>
      <x:c r="L20" s="902">
        <x:v>2996.41</x:v>
      </x:c>
      <x:c r="M20" s="902">
        <x:f t="shared" si="1"/>
        <x:v>187.27562499999999</x:v>
      </x:c>
      <x:c r="N20" s="902">
        <x:f t="shared" si="2"/>
        <x:v>2434.5831250000001</x:v>
      </x:c>
      <x:c r="O20" s="903">
        <x:f t="shared" si="3"/>
        <x:v>561.82687499999975</x:v>
      </x:c>
      <x:c r="P20" s="900">
        <x:f t="shared" si="8"/>
        <x:v>561.82687499999997</x:v>
      </x:c>
    </x:row>
    <x:row r="21" spans="2:16" s="876" customFormat="1">
      <x:c r="B21" s="887" t="s">
        <x:v>1329</x:v>
      </x:c>
      <x:c r="C21" s="887" t="s">
        <x:v>1327</x:v>
      </x:c>
      <x:c r="D21" s="888">
        <x:v>4</x:v>
      </x:c>
      <x:c r="E21" s="889">
        <x:v>44838</x:v>
      </x:c>
      <x:c r="F21" s="889">
        <x:f t="shared" si="4"/>
        <x:v>46299</x:v>
      </x:c>
      <x:c r="G21" s="890">
        <x:f t="shared" si="5"/>
        <x:v>16</x:v>
      </x:c>
      <x:c r="H21" s="889">
        <x:v>46022</x:v>
      </x:c>
      <x:c r="I21" s="890">
        <x:f t="shared" si="0"/>
        <x:v>13</x:v>
      </x:c>
      <x:c r="J21" s="890">
        <x:f t="shared" si="6"/>
        <x:v>3</x:v>
      </x:c>
      <x:c r="K21" s="890">
        <x:f t="shared" si="7"/>
        <x:v>3</x:v>
      </x:c>
      <x:c r="L21" s="902">
        <x:v>2996.41</x:v>
      </x:c>
      <x:c r="M21" s="902">
        <x:f t="shared" si="1"/>
        <x:v>187.27562499999999</x:v>
      </x:c>
      <x:c r="N21" s="902">
        <x:f t="shared" si="2"/>
        <x:v>2434.5831250000001</x:v>
      </x:c>
      <x:c r="O21" s="903">
        <x:f t="shared" si="3"/>
        <x:v>561.82687499999975</x:v>
      </x:c>
      <x:c r="P21" s="900">
        <x:f t="shared" si="8"/>
        <x:v>561.82687499999997</x:v>
      </x:c>
    </x:row>
    <x:row r="22" spans="2:16" s="876" customFormat="1">
      <x:c r="B22" s="887" t="s">
        <x:v>1330</x:v>
      </x:c>
      <x:c r="C22" s="887" t="s">
        <x:v>1327</x:v>
      </x:c>
      <x:c r="D22" s="888">
        <x:v>4</x:v>
      </x:c>
      <x:c r="E22" s="889">
        <x:v>44838</x:v>
      </x:c>
      <x:c r="F22" s="889">
        <x:f t="shared" si="4"/>
        <x:v>46299</x:v>
      </x:c>
      <x:c r="G22" s="890">
        <x:f t="shared" si="5"/>
        <x:v>16</x:v>
      </x:c>
      <x:c r="H22" s="889">
        <x:v>46022</x:v>
      </x:c>
      <x:c r="I22" s="890">
        <x:f t="shared" si="0"/>
        <x:v>13</x:v>
      </x:c>
      <x:c r="J22" s="890">
        <x:f t="shared" si="6"/>
        <x:v>3</x:v>
      </x:c>
      <x:c r="K22" s="890">
        <x:f t="shared" si="7"/>
        <x:v>3</x:v>
      </x:c>
      <x:c r="L22" s="902">
        <x:v>2996.41</x:v>
      </x:c>
      <x:c r="M22" s="902">
        <x:f t="shared" si="1"/>
        <x:v>187.27562499999999</x:v>
      </x:c>
      <x:c r="N22" s="902">
        <x:f t="shared" si="2"/>
        <x:v>2434.5831250000001</x:v>
      </x:c>
      <x:c r="O22" s="903">
        <x:f t="shared" si="3"/>
        <x:v>561.82687499999975</x:v>
      </x:c>
      <x:c r="P22" s="900">
        <x:f t="shared" si="8"/>
        <x:v>561.82687499999997</x:v>
      </x:c>
    </x:row>
    <x:row r="23" spans="2:16" s="876" customFormat="1">
      <x:c r="B23" s="887" t="s">
        <x:v>1331</x:v>
      </x:c>
      <x:c r="C23" s="887" t="s">
        <x:v>1327</x:v>
      </x:c>
      <x:c r="D23" s="888">
        <x:v>4</x:v>
      </x:c>
      <x:c r="E23" s="889">
        <x:v>44838</x:v>
      </x:c>
      <x:c r="F23" s="889">
        <x:f t="shared" si="4"/>
        <x:v>46299</x:v>
      </x:c>
      <x:c r="G23" s="890">
        <x:f t="shared" si="5"/>
        <x:v>16</x:v>
      </x:c>
      <x:c r="H23" s="889">
        <x:v>46022</x:v>
      </x:c>
      <x:c r="I23" s="890">
        <x:f t="shared" si="0"/>
        <x:v>13</x:v>
      </x:c>
      <x:c r="J23" s="890">
        <x:f t="shared" si="6"/>
        <x:v>3</x:v>
      </x:c>
      <x:c r="K23" s="890">
        <x:f t="shared" si="7"/>
        <x:v>3</x:v>
      </x:c>
      <x:c r="L23" s="902">
        <x:v>2996.41</x:v>
      </x:c>
      <x:c r="M23" s="902">
        <x:f t="shared" si="1"/>
        <x:v>187.27562499999999</x:v>
      </x:c>
      <x:c r="N23" s="902">
        <x:f t="shared" si="2"/>
        <x:v>2434.5831250000001</x:v>
      </x:c>
      <x:c r="O23" s="903">
        <x:f t="shared" si="3"/>
        <x:v>561.82687499999975</x:v>
      </x:c>
      <x:c r="P23" s="900">
        <x:f t="shared" si="8"/>
        <x:v>561.82687499999997</x:v>
      </x:c>
    </x:row>
    <x:row r="24" spans="2:16" s="876" customFormat="1">
      <x:c r="B24" s="887" t="s">
        <x:v>1332</x:v>
      </x:c>
      <x:c r="C24" s="887" t="s">
        <x:v>1333</x:v>
      </x:c>
      <x:c r="D24" s="888">
        <x:v>7</x:v>
      </x:c>
      <x:c r="E24" s="889">
        <x:v>44853</x:v>
      </x:c>
      <x:c r="F24" s="889">
        <x:f t="shared" si="4"/>
        <x:v>47410</x:v>
      </x:c>
      <x:c r="G24" s="890">
        <x:f t="shared" si="5"/>
        <x:v>28</x:v>
      </x:c>
      <x:c r="H24" s="889">
        <x:v>46022</x:v>
      </x:c>
      <x:c r="I24" s="890">
        <x:f t="shared" si="0"/>
        <x:v>13</x:v>
      </x:c>
      <x:c r="J24" s="890">
        <x:f t="shared" si="6"/>
        <x:v>15</x:v>
      </x:c>
      <x:c r="K24" s="890">
        <x:f t="shared" si="7"/>
        <x:v>4</x:v>
      </x:c>
      <x:c r="L24" s="902">
        <x:v>4880.78</x:v>
      </x:c>
      <x:c r="M24" s="902">
        <x:f t="shared" si="1"/>
        <x:v>174.31357142857141</x:v>
      </x:c>
      <x:c r="N24" s="902">
        <x:f t="shared" si="2"/>
        <x:v>2266.0764285714281</x:v>
      </x:c>
      <x:c r="O24" s="903">
        <x:f t="shared" si="3"/>
        <x:v>2614.7035714285716</x:v>
      </x:c>
      <x:c r="P24" s="900">
        <x:f t="shared" si="8"/>
        <x:v>697.25428571428563</x:v>
      </x:c>
    </x:row>
    <x:row r="25" spans="2:16" s="876" customFormat="1">
      <x:c r="B25" s="887" t="s">
        <x:v>1334</x:v>
      </x:c>
      <x:c r="C25" s="887" t="s">
        <x:v>1335</x:v>
      </x:c>
      <x:c r="D25" s="888">
        <x:v>4</x:v>
      </x:c>
      <x:c r="E25" s="889">
        <x:v>44841</x:v>
      </x:c>
      <x:c r="F25" s="889">
        <x:f t="shared" si="4"/>
        <x:v>46302</x:v>
      </x:c>
      <x:c r="G25" s="890">
        <x:f t="shared" si="5"/>
        <x:v>16</x:v>
      </x:c>
      <x:c r="H25" s="889">
        <x:v>46022</x:v>
      </x:c>
      <x:c r="I25" s="890">
        <x:f t="shared" si="0"/>
        <x:v>13</x:v>
      </x:c>
      <x:c r="J25" s="890">
        <x:f t="shared" si="6"/>
        <x:v>3</x:v>
      </x:c>
      <x:c r="K25" s="890">
        <x:f t="shared" si="7"/>
        <x:v>3</x:v>
      </x:c>
      <x:c r="L25" s="902">
        <x:v>56790.54</x:v>
      </x:c>
      <x:c r="M25" s="902">
        <x:f t="shared" si="1"/>
        <x:v>3549.4087500000001</x:v>
      </x:c>
      <x:c r="N25" s="902">
        <x:f t="shared" si="2"/>
        <x:v>46142.313750000001</x:v>
      </x:c>
      <x:c r="O25" s="903">
        <x:f t="shared" si="3"/>
        <x:v>10648.22625</x:v>
      </x:c>
      <x:c r="P25" s="900">
        <x:f t="shared" si="8"/>
        <x:v>10648.22625</x:v>
      </x:c>
    </x:row>
    <x:row r="26" spans="2:16" s="876" customFormat="1">
      <x:c r="B26" s="887" t="s">
        <x:v>1336</x:v>
      </x:c>
      <x:c r="C26" s="887" t="s">
        <x:v>1337</x:v>
      </x:c>
      <x:c r="D26" s="888">
        <x:v>4</x:v>
      </x:c>
      <x:c r="E26" s="889">
        <x:v>44917</x:v>
      </x:c>
      <x:c r="F26" s="889">
        <x:f t="shared" si="4"/>
        <x:v>46378</x:v>
      </x:c>
      <x:c r="G26" s="890">
        <x:f t="shared" si="5"/>
        <x:v>16</x:v>
      </x:c>
      <x:c r="H26" s="889">
        <x:v>46022</x:v>
      </x:c>
      <x:c r="I26" s="890">
        <x:f t="shared" si="0"/>
        <x:v>13</x:v>
      </x:c>
      <x:c r="J26" s="890">
        <x:f t="shared" si="6"/>
        <x:v>3</x:v>
      </x:c>
      <x:c r="K26" s="890">
        <x:f t="shared" si="7"/>
        <x:v>3</x:v>
      </x:c>
      <x:c r="L26" s="902">
        <x:v>32023.439999999999</x:v>
      </x:c>
      <x:c r="M26" s="902">
        <x:f t="shared" si="1"/>
        <x:v>2001.4649999999999</x:v>
      </x:c>
      <x:c r="N26" s="902">
        <x:f t="shared" si="2"/>
        <x:v>26019.044999999998</x:v>
      </x:c>
      <x:c r="O26" s="903">
        <x:f t="shared" si="3"/>
        <x:v>6004.3950000000004</x:v>
      </x:c>
      <x:c r="P26" s="900">
        <x:f t="shared" si="8"/>
        <x:v>6004.3949999999995</x:v>
      </x:c>
    </x:row>
    <x:row r="27" spans="2:16" s="876" customFormat="1">
      <x:c r="B27" s="887" t="s">
        <x:v>1338</x:v>
      </x:c>
      <x:c r="C27" s="887" t="s">
        <x:v>1339</x:v>
      </x:c>
      <x:c r="D27" s="888">
        <x:v>4</x:v>
      </x:c>
      <x:c r="E27" s="889">
        <x:v>44945</x:v>
      </x:c>
      <x:c r="F27" s="889">
        <x:f t="shared" si="4"/>
        <x:v>46406</x:v>
      </x:c>
      <x:c r="G27" s="890">
        <x:f t="shared" si="5"/>
        <x:v>16</x:v>
      </x:c>
      <x:c r="H27" s="889">
        <x:v>46022</x:v>
      </x:c>
      <x:c r="I27" s="890">
        <x:f t="shared" si="0"/>
        <x:v>12</x:v>
      </x:c>
      <x:c r="J27" s="890">
        <x:f t="shared" si="6"/>
        <x:v>4</x:v>
      </x:c>
      <x:c r="K27" s="890">
        <x:f t="shared" si="7"/>
        <x:v>4</x:v>
      </x:c>
      <x:c r="L27" s="902">
        <x:v>3313.04</x:v>
      </x:c>
      <x:c r="M27" s="902">
        <x:f t="shared" si="1"/>
        <x:v>207.065</x:v>
      </x:c>
      <x:c r="N27" s="902">
        <x:f t="shared" si="2"/>
        <x:v>2484.7799999999997</x:v>
      </x:c>
      <x:c r="O27" s="903">
        <x:f t="shared" si="3"/>
        <x:v>828.26000000000022</x:v>
      </x:c>
      <x:c r="P27" s="900">
        <x:f t="shared" si="8"/>
        <x:v>828.26</x:v>
      </x:c>
    </x:row>
    <x:row r="28" spans="2:16" s="876" customFormat="1">
      <x:c r="B28" s="887" t="s">
        <x:v>1340</x:v>
      </x:c>
      <x:c r="C28" s="887" t="s">
        <x:v>1341</x:v>
      </x:c>
      <x:c r="D28" s="888">
        <x:v>4</x:v>
      </x:c>
      <x:c r="E28" s="889">
        <x:v>45079</x:v>
      </x:c>
      <x:c r="F28" s="889">
        <x:f t="shared" si="4"/>
        <x:v>46540</x:v>
      </x:c>
      <x:c r="G28" s="890">
        <x:f t="shared" si="5"/>
        <x:v>16</x:v>
      </x:c>
      <x:c r="H28" s="889">
        <x:v>46022</x:v>
      </x:c>
      <x:c r="I28" s="890">
        <x:f t="shared" si="0"/>
        <x:v>11</x:v>
      </x:c>
      <x:c r="J28" s="890">
        <x:f t="shared" si="6"/>
        <x:v>5</x:v>
      </x:c>
      <x:c r="K28" s="890">
        <x:f t="shared" si="7"/>
        <x:v>4</x:v>
      </x:c>
      <x:c r="L28" s="902">
        <x:v>25684.14</x:v>
      </x:c>
      <x:c r="M28" s="902">
        <x:f t="shared" si="1"/>
        <x:v>1605.25875</x:v>
      </x:c>
      <x:c r="N28" s="902">
        <x:f t="shared" si="2"/>
        <x:v>17657.846249999999</x:v>
      </x:c>
      <x:c r="O28" s="903">
        <x:f t="shared" si="3"/>
        <x:v>8026.2937500000007</x:v>
      </x:c>
      <x:c r="P28" s="900">
        <x:f t="shared" si="8"/>
        <x:v>6421.0349999999999</x:v>
      </x:c>
    </x:row>
    <x:row r="29" spans="2:16" s="876" customFormat="1">
      <x:c r="B29" s="887" t="s">
        <x:v>1342</x:v>
      </x:c>
      <x:c r="C29" s="887" t="s">
        <x:v>1343</x:v>
      </x:c>
      <x:c r="D29" s="888">
        <x:v>4</x:v>
      </x:c>
      <x:c r="E29" s="889">
        <x:v>45190</x:v>
      </x:c>
      <x:c r="F29" s="889">
        <x:f t="shared" si="4"/>
        <x:v>46651</x:v>
      </x:c>
      <x:c r="G29" s="890">
        <x:f t="shared" si="5"/>
        <x:v>16</x:v>
      </x:c>
      <x:c r="H29" s="889">
        <x:v>46022</x:v>
      </x:c>
      <x:c r="I29" s="890">
        <x:f t="shared" si="0"/>
        <x:v>10</x:v>
      </x:c>
      <x:c r="J29" s="890">
        <x:f t="shared" si="6"/>
        <x:v>6</x:v>
      </x:c>
      <x:c r="K29" s="890">
        <x:f t="shared" si="7"/>
        <x:v>4</x:v>
      </x:c>
      <x:c r="L29" s="902">
        <x:v>27643.77</x:v>
      </x:c>
      <x:c r="M29" s="902">
        <x:f t="shared" si="1"/>
        <x:v>1727.735625</x:v>
      </x:c>
      <x:c r="N29" s="902">
        <x:f t="shared" si="2"/>
        <x:v>17277.356250000001</x:v>
      </x:c>
      <x:c r="O29" s="903">
        <x:f t="shared" si="3"/>
        <x:v>10366.41375</x:v>
      </x:c>
      <x:c r="P29" s="900">
        <x:f t="shared" si="8"/>
        <x:v>6910.9425000000001</x:v>
      </x:c>
    </x:row>
    <x:row r="30" spans="2:16" s="876" customFormat="1">
      <x:c r="B30" s="887" t="s">
        <x:v>1344</x:v>
      </x:c>
      <x:c r="C30" s="887" t="s">
        <x:v>1345</x:v>
      </x:c>
      <x:c r="D30" s="888">
        <x:v>10</x:v>
      </x:c>
      <x:c r="E30" s="889">
        <x:v>45224</x:v>
      </x:c>
      <x:c r="F30" s="889">
        <x:f t="shared" si="4"/>
        <x:v>48877</x:v>
      </x:c>
      <x:c r="G30" s="890">
        <x:f t="shared" si="5"/>
        <x:v>40</x:v>
      </x:c>
      <x:c r="H30" s="889">
        <x:v>46022</x:v>
      </x:c>
      <x:c r="I30" s="890">
        <x:f t="shared" si="0"/>
        <x:v>9</x:v>
      </x:c>
      <x:c r="J30" s="890">
        <x:f t="shared" si="6"/>
        <x:v>31</x:v>
      </x:c>
      <x:c r="K30" s="890">
        <x:f t="shared" si="7"/>
        <x:v>4</x:v>
      </x:c>
      <x:c r="L30" s="902">
        <x:v>598109.80000000005</x:v>
      </x:c>
      <x:c r="M30" s="902">
        <x:f t="shared" si="1"/>
        <x:v>14952.745000000001</x:v>
      </x:c>
      <x:c r="N30" s="902">
        <x:f t="shared" si="2"/>
        <x:v>134574.70500000002</x:v>
      </x:c>
      <x:c r="O30" s="903">
        <x:f t="shared" si="3"/>
        <x:v>463535.09500000003</x:v>
      </x:c>
      <x:c r="P30" s="900">
        <x:f t="shared" si="8"/>
        <x:v>59810.98</x:v>
      </x:c>
    </x:row>
    <x:row r="31" spans="2:16" s="876" customFormat="1">
      <x:c r="B31" s="887" t="s">
        <x:v>1346</x:v>
      </x:c>
      <x:c r="C31" s="887" t="s">
        <x:v>1347</x:v>
      </x:c>
      <x:c r="D31" s="888">
        <x:v>5</x:v>
      </x:c>
      <x:c r="E31" s="889">
        <x:v>45282</x:v>
      </x:c>
      <x:c r="F31" s="889">
        <x:f t="shared" si="4"/>
        <x:v>47109</x:v>
      </x:c>
      <x:c r="G31" s="890">
        <x:f t="shared" si="5"/>
        <x:v>20</x:v>
      </x:c>
      <x:c r="H31" s="889">
        <x:v>46022</x:v>
      </x:c>
      <x:c r="I31" s="890">
        <x:f t="shared" si="0"/>
        <x:v>9</x:v>
      </x:c>
      <x:c r="J31" s="890">
        <x:f t="shared" si="6"/>
        <x:v>11</x:v>
      </x:c>
      <x:c r="K31" s="890">
        <x:f t="shared" si="7"/>
        <x:v>4</x:v>
      </x:c>
      <x:c r="L31" s="902">
        <x:v>6104.94</x:v>
      </x:c>
      <x:c r="M31" s="902">
        <x:f t="shared" si="1"/>
        <x:v>305.24699999999996</x:v>
      </x:c>
      <x:c r="N31" s="902">
        <x:f t="shared" si="2"/>
        <x:v>2747.2229999999995</x:v>
      </x:c>
      <x:c r="O31" s="903">
        <x:f t="shared" si="3"/>
        <x:v>3357.7170000000001</x:v>
      </x:c>
      <x:c r="P31" s="900">
        <x:f t="shared" si="8"/>
        <x:v>1220.9879999999998</x:v>
      </x:c>
    </x:row>
    <x:row r="32" spans="2:16" s="876" customFormat="1">
      <x:c r="B32" s="887" t="s">
        <x:v>1348</x:v>
      </x:c>
      <x:c r="C32" s="887" t="s">
        <x:v>1349</x:v>
      </x:c>
      <x:c r="D32" s="888">
        <x:v>10</x:v>
      </x:c>
      <x:c r="E32" s="889">
        <x:v>45294</x:v>
      </x:c>
      <x:c r="F32" s="889">
        <x:f t="shared" si="4"/>
        <x:v>48947</x:v>
      </x:c>
      <x:c r="G32" s="890">
        <x:f t="shared" si="5"/>
        <x:v>40</x:v>
      </x:c>
      <x:c r="H32" s="889">
        <x:v>46022</x:v>
      </x:c>
      <x:c r="I32" s="890">
        <x:f t="shared" si="0"/>
        <x:v>8</x:v>
      </x:c>
      <x:c r="J32" s="890">
        <x:f t="shared" si="6"/>
        <x:v>32</x:v>
      </x:c>
      <x:c r="K32" s="890">
        <x:f t="shared" si="7"/>
        <x:v>4</x:v>
      </x:c>
      <x:c r="L32" s="902">
        <x:v>55655.92</x:v>
      </x:c>
      <x:c r="M32" s="902">
        <x:f t="shared" si="1"/>
        <x:v>1391.3979999999999</x:v>
      </x:c>
      <x:c r="N32" s="902">
        <x:f t="shared" si="2"/>
        <x:v>11131.183999999999</x:v>
      </x:c>
      <x:c r="O32" s="903">
        <x:f t="shared" si="3"/>
        <x:v>44524.735999999997</x:v>
      </x:c>
      <x:c r="P32" s="900">
        <x:f t="shared" si="8"/>
        <x:v>5565.5919999999996</x:v>
      </x:c>
    </x:row>
    <x:row r="33" spans="2:16" s="876" customFormat="1">
      <x:c r="B33" s="887" t="s">
        <x:v>1350</x:v>
      </x:c>
      <x:c r="C33" s="887" t="s">
        <x:v>1351</x:v>
      </x:c>
      <x:c r="D33" s="888">
        <x:v>4</x:v>
      </x:c>
      <x:c r="E33" s="889">
        <x:v>45485</x:v>
      </x:c>
      <x:c r="F33" s="889">
        <x:f t="shared" si="4"/>
        <x:v>46946</x:v>
      </x:c>
      <x:c r="G33" s="890">
        <x:f t="shared" si="5"/>
        <x:v>16</x:v>
      </x:c>
      <x:c r="H33" s="889">
        <x:v>46022</x:v>
      </x:c>
      <x:c r="I33" s="890">
        <x:f t="shared" si="0"/>
        <x:v>6</x:v>
      </x:c>
      <x:c r="J33" s="890">
        <x:f t="shared" si="6"/>
        <x:v>10</x:v>
      </x:c>
      <x:c r="K33" s="890">
        <x:f t="shared" si="7"/>
        <x:v>4</x:v>
      </x:c>
      <x:c r="L33" s="902">
        <x:v>7466.59</x:v>
      </x:c>
      <x:c r="M33" s="902">
        <x:f t="shared" si="1"/>
        <x:v>466.66187500000001</x:v>
      </x:c>
      <x:c r="N33" s="902">
        <x:f t="shared" si="2"/>
        <x:v>2799.9712500000001</x:v>
      </x:c>
      <x:c r="O33" s="903">
        <x:f t="shared" si="3"/>
        <x:v>4666.6187499999996</x:v>
      </x:c>
      <x:c r="P33" s="900">
        <x:f t="shared" si="8"/>
        <x:v>1866.6475</x:v>
      </x:c>
    </x:row>
    <x:row r="34" spans="2:16" s="876" customFormat="1">
      <x:c r="B34" s="887" t="s">
        <x:v>1352</x:v>
      </x:c>
      <x:c r="C34" s="887" t="s">
        <x:v>1353</x:v>
      </x:c>
      <x:c r="D34" s="888">
        <x:v>4</x:v>
      </x:c>
      <x:c r="E34" s="889">
        <x:v>45533</x:v>
      </x:c>
      <x:c r="F34" s="889">
        <x:f t="shared" si="4"/>
        <x:v>46994</x:v>
      </x:c>
      <x:c r="G34" s="890">
        <x:f t="shared" si="5"/>
        <x:v>16</x:v>
      </x:c>
      <x:c r="H34" s="889">
        <x:v>46022</x:v>
      </x:c>
      <x:c r="I34" s="890">
        <x:f t="shared" si="0"/>
        <x:v>6</x:v>
      </x:c>
      <x:c r="J34" s="890">
        <x:f t="shared" si="6"/>
        <x:v>10</x:v>
      </x:c>
      <x:c r="K34" s="890">
        <x:f t="shared" si="7"/>
        <x:v>4</x:v>
      </x:c>
      <x:c r="L34" s="902">
        <x:v>12705.47</x:v>
      </x:c>
      <x:c r="M34" s="902">
        <x:f t="shared" si="1"/>
        <x:v>794.09187499999996</x:v>
      </x:c>
      <x:c r="N34" s="902">
        <x:f t="shared" si="2"/>
        <x:v>4764.5512499999995</x:v>
      </x:c>
      <x:c r="O34" s="903">
        <x:f t="shared" si="3"/>
        <x:v>7940.9187499999998</x:v>
      </x:c>
      <x:c r="P34" s="900">
        <x:f t="shared" si="8"/>
        <x:v>3176.3674999999998</x:v>
      </x:c>
    </x:row>
    <x:row r="35" spans="2:16" s="876" customFormat="1">
      <x:c r="B35" s="887" t="s">
        <x:v>1354</x:v>
      </x:c>
      <x:c r="C35" s="887" t="s">
        <x:v>1353</x:v>
      </x:c>
      <x:c r="D35" s="888">
        <x:v>4</x:v>
      </x:c>
      <x:c r="E35" s="889">
        <x:v>45537</x:v>
      </x:c>
      <x:c r="F35" s="889">
        <x:f t="shared" si="4"/>
        <x:v>46998</x:v>
      </x:c>
      <x:c r="G35" s="890">
        <x:f t="shared" si="5"/>
        <x:v>16</x:v>
      </x:c>
      <x:c r="H35" s="889">
        <x:v>46022</x:v>
      </x:c>
      <x:c r="I35" s="890">
        <x:f t="shared" si="0"/>
        <x:v>6</x:v>
      </x:c>
      <x:c r="J35" s="890">
        <x:f t="shared" si="6"/>
        <x:v>10</x:v>
      </x:c>
      <x:c r="K35" s="890">
        <x:f t="shared" si="7"/>
        <x:v>4</x:v>
      </x:c>
      <x:c r="L35" s="902">
        <x:v>15047.26</x:v>
      </x:c>
      <x:c r="M35" s="902">
        <x:f t="shared" si="1"/>
        <x:v>940.45375000000001</x:v>
      </x:c>
      <x:c r="N35" s="902">
        <x:f t="shared" si="2"/>
        <x:v>5642.7224999999999</x:v>
      </x:c>
      <x:c r="O35" s="903">
        <x:f t="shared" si="3"/>
        <x:v>9404.5375000000004</x:v>
      </x:c>
      <x:c r="P35" s="900">
        <x:f t="shared" si="8"/>
        <x:v>3761.8150000000001</x:v>
      </x:c>
    </x:row>
    <x:row r="36" spans="2:16" s="876" customFormat="1">
      <x:c r="B36" s="887" t="s">
        <x:v>1355</x:v>
      </x:c>
      <x:c r="C36" s="887" t="s">
        <x:v>1356</x:v>
      </x:c>
      <x:c r="D36" s="888">
        <x:v>5</x:v>
      </x:c>
      <x:c r="E36" s="889">
        <x:v>45551</x:v>
      </x:c>
      <x:c r="F36" s="889">
        <x:f t="shared" si="4"/>
        <x:v>47377</x:v>
      </x:c>
      <x:c r="G36" s="890">
        <x:f t="shared" si="5"/>
        <x:v>20</x:v>
      </x:c>
      <x:c r="H36" s="889">
        <x:v>46022</x:v>
      </x:c>
      <x:c r="I36" s="890">
        <x:f t="shared" si="0"/>
        <x:v>6</x:v>
      </x:c>
      <x:c r="J36" s="890">
        <x:f t="shared" si="6"/>
        <x:v>14</x:v>
      </x:c>
      <x:c r="K36" s="890">
        <x:f t="shared" si="7"/>
        <x:v>4</x:v>
      </x:c>
      <x:c r="L36" s="902">
        <x:v>8276.4500000000007</x:v>
      </x:c>
      <x:c r="M36" s="902">
        <x:f t="shared" si="1"/>
        <x:v>413.82250000000005</x:v>
      </x:c>
      <x:c r="N36" s="902">
        <x:f t="shared" si="2"/>
        <x:v>2482.9350000000004</x:v>
      </x:c>
      <x:c r="O36" s="903">
        <x:f t="shared" si="3"/>
        <x:v>5793.5150000000003</x:v>
      </x:c>
      <x:c r="P36" s="900">
        <x:f t="shared" si="8"/>
        <x:v>1655.2900000000002</x:v>
      </x:c>
    </x:row>
    <x:row r="37" spans="2:16" s="876" customFormat="1">
      <x:c r="B37" s="887" t="s">
        <x:v>1357</x:v>
      </x:c>
      <x:c r="C37" s="887" t="s">
        <x:v>1358</x:v>
      </x:c>
      <x:c r="D37" s="888">
        <x:v>10</x:v>
      </x:c>
      <x:c r="E37" s="889">
        <x:v>45558</x:v>
      </x:c>
      <x:c r="F37" s="889">
        <x:f t="shared" si="4"/>
        <x:v>49210</x:v>
      </x:c>
      <x:c r="G37" s="890">
        <x:f t="shared" si="5"/>
        <x:v>40</x:v>
      </x:c>
      <x:c r="H37" s="889">
        <x:v>46022</x:v>
      </x:c>
      <x:c r="I37" s="890">
        <x:f t="shared" si="0"/>
        <x:v>6</x:v>
      </x:c>
      <x:c r="J37" s="890">
        <x:f t="shared" si="6"/>
        <x:v>34</x:v>
      </x:c>
      <x:c r="K37" s="890">
        <x:f t="shared" si="7"/>
        <x:v>4</x:v>
      </x:c>
      <x:c r="L37" s="902">
        <x:v>56785.96</x:v>
      </x:c>
      <x:c r="M37" s="902">
        <x:f t="shared" si="1"/>
        <x:v>1419.6489999999999</x:v>
      </x:c>
      <x:c r="N37" s="902">
        <x:f t="shared" si="2"/>
        <x:v>8517.8940000000002</x:v>
      </x:c>
      <x:c r="O37" s="903">
        <x:f t="shared" si="3"/>
        <x:v>48268.065999999999</x:v>
      </x:c>
      <x:c r="P37" s="900">
        <x:f t="shared" si="8"/>
        <x:v>5678.5959999999995</x:v>
      </x:c>
    </x:row>
    <x:row r="38" spans="2:16" s="876" customFormat="1">
      <x:c r="B38" s="887" t="s">
        <x:v>1359</x:v>
      </x:c>
      <x:c r="C38" s="887" t="s">
        <x:v>1360</x:v>
      </x:c>
      <x:c r="D38" s="888">
        <x:v>3</x:v>
      </x:c>
      <x:c r="E38" s="889">
        <x:v>45560</x:v>
      </x:c>
      <x:c r="F38" s="889">
        <x:f t="shared" si="4"/>
        <x:v>46655</x:v>
      </x:c>
      <x:c r="G38" s="890">
        <x:f t="shared" si="5"/>
        <x:v>12</x:v>
      </x:c>
      <x:c r="H38" s="889">
        <x:v>46022</x:v>
      </x:c>
      <x:c r="I38" s="890">
        <x:f t="shared" si="0"/>
        <x:v>6</x:v>
      </x:c>
      <x:c r="J38" s="890">
        <x:f t="shared" si="6"/>
        <x:v>6</x:v>
      </x:c>
      <x:c r="K38" s="890">
        <x:f t="shared" si="7"/>
        <x:v>4</x:v>
      </x:c>
      <x:c r="L38" s="902">
        <x:v>17060.48</x:v>
      </x:c>
      <x:c r="M38" s="902">
        <x:f t="shared" si="1"/>
        <x:v>1421.7066666666667</x:v>
      </x:c>
      <x:c r="N38" s="902">
        <x:f t="shared" si="2"/>
        <x:v>8530.24</x:v>
      </x:c>
      <x:c r="O38" s="903">
        <x:f t="shared" si="3"/>
        <x:v>8530.24</x:v>
      </x:c>
      <x:c r="P38" s="900">
        <x:f t="shared" si="8"/>
        <x:v>5686.8266666666668</x:v>
      </x:c>
    </x:row>
    <x:row r="39" spans="2:16" s="876" customFormat="1">
      <x:c r="B39" s="887" t="s">
        <x:v>1361</x:v>
      </x:c>
      <x:c r="C39" s="887" t="s">
        <x:v>1362</x:v>
      </x:c>
      <x:c r="D39" s="888">
        <x:v>4</x:v>
      </x:c>
      <x:c r="E39" s="889">
        <x:v>45573</x:v>
      </x:c>
      <x:c r="F39" s="889">
        <x:f t="shared" si="4"/>
        <x:v>47034</x:v>
      </x:c>
      <x:c r="G39" s="890">
        <x:f t="shared" si="5"/>
        <x:v>16</x:v>
      </x:c>
      <x:c r="H39" s="889">
        <x:v>46022</x:v>
      </x:c>
      <x:c r="I39" s="890">
        <x:f t="shared" si="0"/>
        <x:v>5</x:v>
      </x:c>
      <x:c r="J39" s="890">
        <x:f t="shared" si="6"/>
        <x:v>11</x:v>
      </x:c>
      <x:c r="K39" s="890">
        <x:f t="shared" si="7"/>
        <x:v>4</x:v>
      </x:c>
      <x:c r="L39" s="902">
        <x:v>16000.8</x:v>
      </x:c>
      <x:c r="M39" s="902">
        <x:f t="shared" si="1"/>
        <x:v>1000.05</x:v>
      </x:c>
      <x:c r="N39" s="902">
        <x:f t="shared" si="2"/>
        <x:v>5000.25</x:v>
      </x:c>
      <x:c r="O39" s="903">
        <x:f t="shared" si="3"/>
        <x:v>11000.55</x:v>
      </x:c>
      <x:c r="P39" s="900">
        <x:f t="shared" si="8"/>
        <x:v>4000.2</x:v>
      </x:c>
    </x:row>
    <x:row r="40" spans="2:16" s="876" customFormat="1">
      <x:c r="B40" s="887" t="s">
        <x:v>1363</x:v>
      </x:c>
      <x:c r="C40" s="887" t="s">
        <x:v>1364</x:v>
      </x:c>
      <x:c r="D40" s="888">
        <x:v>5</x:v>
      </x:c>
      <x:c r="E40" s="889">
        <x:v>45590</x:v>
      </x:c>
      <x:c r="F40" s="889">
        <x:f t="shared" si="4"/>
        <x:v>47416</x:v>
      </x:c>
      <x:c r="G40" s="890">
        <x:f t="shared" si="5"/>
        <x:v>20</x:v>
      </x:c>
      <x:c r="H40" s="889">
        <x:v>46022</x:v>
      </x:c>
      <x:c r="I40" s="890">
        <x:f t="shared" si="0"/>
        <x:v>5</x:v>
      </x:c>
      <x:c r="J40" s="890">
        <x:f t="shared" si="6"/>
        <x:v>15</x:v>
      </x:c>
      <x:c r="K40" s="890">
        <x:f t="shared" si="7"/>
        <x:v>4</x:v>
      </x:c>
      <x:c r="L40" s="902">
        <x:v>16000.8</x:v>
      </x:c>
      <x:c r="M40" s="902">
        <x:f t="shared" si="1"/>
        <x:v>800.04</x:v>
      </x:c>
      <x:c r="N40" s="902">
        <x:f t="shared" si="2"/>
        <x:v>4000.2</x:v>
      </x:c>
      <x:c r="O40" s="903">
        <x:f t="shared" si="3"/>
        <x:v>12000.599999999999</x:v>
      </x:c>
      <x:c r="P40" s="900">
        <x:f t="shared" si="8"/>
        <x:v>3200.16</x:v>
      </x:c>
    </x:row>
    <x:row r="41" spans="2:16" s="876" customFormat="1">
      <x:c r="B41" s="887" t="s">
        <x:v>1365</x:v>
      </x:c>
      <x:c r="C41" s="887" t="s">
        <x:v>1366</x:v>
      </x:c>
      <x:c r="D41" s="888">
        <x:v>5</x:v>
      </x:c>
      <x:c r="E41" s="889">
        <x:v>45588</x:v>
      </x:c>
      <x:c r="F41" s="889">
        <x:f t="shared" si="4"/>
        <x:v>47414</x:v>
      </x:c>
      <x:c r="G41" s="890">
        <x:f t="shared" si="5"/>
        <x:v>20</x:v>
      </x:c>
      <x:c r="H41" s="889">
        <x:v>46022</x:v>
      </x:c>
      <x:c r="I41" s="890">
        <x:f t="shared" si="0"/>
        <x:v>5</x:v>
      </x:c>
      <x:c r="J41" s="890">
        <x:f t="shared" si="6"/>
        <x:v>15</x:v>
      </x:c>
      <x:c r="K41" s="890">
        <x:f t="shared" si="7"/>
        <x:v>4</x:v>
      </x:c>
      <x:c r="L41" s="902">
        <x:v>13353.92</x:v>
      </x:c>
      <x:c r="M41" s="902">
        <x:f t="shared" si="1"/>
        <x:v>667.69600000000003</x:v>
      </x:c>
      <x:c r="N41" s="902">
        <x:f t="shared" si="2"/>
        <x:v>3338.48</x:v>
      </x:c>
      <x:c r="O41" s="903">
        <x:f t="shared" si="3"/>
        <x:v>10015.44</x:v>
      </x:c>
      <x:c r="P41" s="900">
        <x:f t="shared" si="8"/>
        <x:v>2670.7840000000001</x:v>
      </x:c>
    </x:row>
    <x:row r="42" spans="2:16" s="876" customFormat="1">
      <x:c r="B42" s="887" t="s">
        <x:v>1367</x:v>
      </x:c>
      <x:c r="C42" s="887" t="s">
        <x:v>1368</x:v>
      </x:c>
      <x:c r="D42" s="888">
        <x:v>4</x:v>
      </x:c>
      <x:c r="E42" s="889">
        <x:v>45588</x:v>
      </x:c>
      <x:c r="F42" s="889">
        <x:f t="shared" si="4"/>
        <x:v>47049</x:v>
      </x:c>
      <x:c r="G42" s="890">
        <x:f t="shared" si="5"/>
        <x:v>16</x:v>
      </x:c>
      <x:c r="H42" s="889">
        <x:v>46022</x:v>
      </x:c>
      <x:c r="I42" s="890">
        <x:f t="shared" si="0"/>
        <x:v>5</x:v>
      </x:c>
      <x:c r="J42" s="890">
        <x:f t="shared" si="6"/>
        <x:v>11</x:v>
      </x:c>
      <x:c r="K42" s="890">
        <x:f t="shared" si="7"/>
        <x:v>4</x:v>
      </x:c>
      <x:c r="L42" s="902">
        <x:v>15957.68</x:v>
      </x:c>
      <x:c r="M42" s="902">
        <x:f t="shared" si="1"/>
        <x:v>997.35500000000002</x:v>
      </x:c>
      <x:c r="N42" s="902">
        <x:f t="shared" si="2"/>
        <x:v>4986.7749999999996</x:v>
      </x:c>
      <x:c r="O42" s="903">
        <x:f t="shared" si="3"/>
        <x:v>10970.905000000001</x:v>
      </x:c>
      <x:c r="P42" s="900">
        <x:f t="shared" si="8"/>
        <x:v>3989.42</x:v>
      </x:c>
    </x:row>
    <x:row r="43" spans="2:16" s="876" customFormat="1">
      <x:c r="B43" s="887" t="s">
        <x:v>1369</x:v>
      </x:c>
      <x:c r="C43" s="887" t="s">
        <x:v>1370</x:v>
      </x:c>
      <x:c r="D43" s="888">
        <x:v>5</x:v>
      </x:c>
      <x:c r="E43" s="889">
        <x:v>45588</x:v>
      </x:c>
      <x:c r="F43" s="889">
        <x:f t="shared" si="4"/>
        <x:v>47414</x:v>
      </x:c>
      <x:c r="G43" s="890">
        <x:f t="shared" si="5"/>
        <x:v>20</x:v>
      </x:c>
      <x:c r="H43" s="889">
        <x:v>46022</x:v>
      </x:c>
      <x:c r="I43" s="890">
        <x:f t="shared" si="0"/>
        <x:v>5</x:v>
      </x:c>
      <x:c r="J43" s="890">
        <x:f t="shared" si="6"/>
        <x:v>15</x:v>
      </x:c>
      <x:c r="K43" s="890">
        <x:f t="shared" si="7"/>
        <x:v>4</x:v>
      </x:c>
      <x:c r="L43" s="902">
        <x:v>6431.29</x:v>
      </x:c>
      <x:c r="M43" s="902">
        <x:f t="shared" si="1"/>
        <x:v>321.56450000000001</x:v>
      </x:c>
      <x:c r="N43" s="902">
        <x:f t="shared" si="2"/>
        <x:v>1607.8225</x:v>
      </x:c>
      <x:c r="O43" s="903">
        <x:f t="shared" si="3"/>
        <x:v>4823.4674999999997</x:v>
      </x:c>
      <x:c r="P43" s="900">
        <x:f t="shared" si="8"/>
        <x:v>1286.258</x:v>
      </x:c>
    </x:row>
    <x:row r="44" spans="2:16" s="876" customFormat="1">
      <x:c r="B44" s="887" t="s">
        <x:v>1371</x:v>
      </x:c>
      <x:c r="C44" s="887" t="s">
        <x:v>1372</x:v>
      </x:c>
      <x:c r="D44" s="888">
        <x:v>5</x:v>
      </x:c>
      <x:c r="E44" s="889">
        <x:v>45583</x:v>
      </x:c>
      <x:c r="F44" s="889">
        <x:f t="shared" si="4"/>
        <x:v>47409</x:v>
      </x:c>
      <x:c r="G44" s="890">
        <x:f t="shared" si="5"/>
        <x:v>20</x:v>
      </x:c>
      <x:c r="H44" s="889">
        <x:v>46022</x:v>
      </x:c>
      <x:c r="I44" s="890">
        <x:f t="shared" si="0"/>
        <x:v>5</x:v>
      </x:c>
      <x:c r="J44" s="890">
        <x:f t="shared" si="6"/>
        <x:v>15</x:v>
      </x:c>
      <x:c r="K44" s="890">
        <x:f t="shared" si="7"/>
        <x:v>4</x:v>
      </x:c>
      <x:c r="L44" s="902">
        <x:v>7882.91</x:v>
      </x:c>
      <x:c r="M44" s="902">
        <x:f t="shared" si="1"/>
        <x:v>394.14549999999997</x:v>
      </x:c>
      <x:c r="N44" s="902">
        <x:f t="shared" si="2"/>
        <x:v>1970.7275</x:v>
      </x:c>
      <x:c r="O44" s="903">
        <x:f t="shared" si="3"/>
        <x:v>5912.1824999999999</x:v>
      </x:c>
      <x:c r="P44" s="900">
        <x:f t="shared" si="8"/>
        <x:v>1576.5819999999999</x:v>
      </x:c>
    </x:row>
    <x:row r="45" spans="2:16" s="876" customFormat="1">
      <x:c r="B45" s="887" t="s">
        <x:v>1373</x:v>
      </x:c>
      <x:c r="C45" s="887" t="s">
        <x:v>1374</x:v>
      </x:c>
      <x:c r="D45" s="888">
        <x:v>4</x:v>
      </x:c>
      <x:c r="E45" s="889">
        <x:v>45596</x:v>
      </x:c>
      <x:c r="F45" s="889">
        <x:f t="shared" si="4"/>
        <x:v>47057</x:v>
      </x:c>
      <x:c r="G45" s="890">
        <x:f t="shared" si="5"/>
        <x:v>16</x:v>
      </x:c>
      <x:c r="H45" s="889">
        <x:v>46022</x:v>
      </x:c>
      <x:c r="I45" s="890">
        <x:f t="shared" si="0"/>
        <x:v>5</x:v>
      </x:c>
      <x:c r="J45" s="890">
        <x:f t="shared" si="6"/>
        <x:v>11</x:v>
      </x:c>
      <x:c r="K45" s="890">
        <x:f t="shared" si="7"/>
        <x:v>4</x:v>
      </x:c>
      <x:c r="L45" s="902">
        <x:v>16141.67</x:v>
      </x:c>
      <x:c r="M45" s="902">
        <x:f t="shared" si="1"/>
        <x:v>1008.854375</x:v>
      </x:c>
      <x:c r="N45" s="902">
        <x:f t="shared" si="2"/>
        <x:v>5044.2718750000004</x:v>
      </x:c>
      <x:c r="O45" s="903">
        <x:f t="shared" si="3"/>
        <x:v>11097.398125</x:v>
      </x:c>
      <x:c r="P45" s="900">
        <x:f t="shared" si="8"/>
        <x:v>4035.4175</x:v>
      </x:c>
    </x:row>
    <x:row r="46" spans="2:16" s="876" customFormat="1">
      <x:c r="B46" s="887" t="s">
        <x:v>1375</x:v>
      </x:c>
      <x:c r="C46" s="887" t="s">
        <x:v>1376</x:v>
      </x:c>
      <x:c r="D46" s="888">
        <x:v>5</x:v>
      </x:c>
      <x:c r="E46" s="889">
        <x:v>45603</x:v>
      </x:c>
      <x:c r="F46" s="889">
        <x:f t="shared" si="4"/>
        <x:v>47429</x:v>
      </x:c>
      <x:c r="G46" s="890">
        <x:f t="shared" si="5"/>
        <x:v>20</x:v>
      </x:c>
      <x:c r="H46" s="889">
        <x:v>46022</x:v>
      </x:c>
      <x:c r="I46" s="890">
        <x:f t="shared" si="0"/>
        <x:v>5</x:v>
      </x:c>
      <x:c r="J46" s="890">
        <x:f t="shared" si="6"/>
        <x:v>15</x:v>
      </x:c>
      <x:c r="K46" s="890">
        <x:f t="shared" si="7"/>
        <x:v>4</x:v>
      </x:c>
      <x:c r="L46" s="902">
        <x:v>27382.91</x:v>
      </x:c>
      <x:c r="M46" s="902">
        <x:f t="shared" si="1"/>
        <x:v>1369.1455000000001</x:v>
      </x:c>
      <x:c r="N46" s="902">
        <x:f t="shared" si="2"/>
        <x:v>6845.7275000000009</x:v>
      </x:c>
      <x:c r="O46" s="903">
        <x:f t="shared" si="3"/>
        <x:v>20537.182499999999</x:v>
      </x:c>
      <x:c r="P46" s="900">
        <x:f t="shared" si="8"/>
        <x:v>5476.5820000000003</x:v>
      </x:c>
    </x:row>
    <x:row r="47" spans="2:16" s="876" customFormat="1">
      <x:c r="B47" s="887" t="s">
        <x:v>1377</x:v>
      </x:c>
      <x:c r="C47" s="887" t="s">
        <x:v>1378</x:v>
      </x:c>
      <x:c r="D47" s="888">
        <x:v>5</x:v>
      </x:c>
      <x:c r="E47" s="889">
        <x:v>45608</x:v>
      </x:c>
      <x:c r="F47" s="889">
        <x:f t="shared" si="4"/>
        <x:v>47434</x:v>
      </x:c>
      <x:c r="G47" s="890">
        <x:f t="shared" si="5"/>
        <x:v>20</x:v>
      </x:c>
      <x:c r="H47" s="889">
        <x:v>46022</x:v>
      </x:c>
      <x:c r="I47" s="890">
        <x:f t="shared" si="0"/>
        <x:v>5</x:v>
      </x:c>
      <x:c r="J47" s="890">
        <x:f t="shared" si="6"/>
        <x:v>15</x:v>
      </x:c>
      <x:c r="K47" s="890">
        <x:f t="shared" si="7"/>
        <x:v>4</x:v>
      </x:c>
      <x:c r="L47" s="902">
        <x:v>25562.86</x:v>
      </x:c>
      <x:c r="M47" s="902">
        <x:f t="shared" si="1"/>
        <x:v>1278.143</x:v>
      </x:c>
      <x:c r="N47" s="902">
        <x:f t="shared" si="2"/>
        <x:v>6390.7150000000001</x:v>
      </x:c>
      <x:c r="O47" s="903">
        <x:f t="shared" si="3"/>
        <x:v>19172.145</x:v>
      </x:c>
      <x:c r="P47" s="900">
        <x:f t="shared" si="8"/>
        <x:v>5112.5720000000001</x:v>
      </x:c>
    </x:row>
    <x:row r="48" spans="2:16" s="876" customFormat="1">
      <x:c r="B48" s="887" t="s">
        <x:v>1379</x:v>
      </x:c>
      <x:c r="C48" s="887" t="s">
        <x:v>1380</x:v>
      </x:c>
      <x:c r="D48" s="888">
        <x:v>5</x:v>
      </x:c>
      <x:c r="E48" s="889">
        <x:v>45618</x:v>
      </x:c>
      <x:c r="F48" s="889">
        <x:f t="shared" si="4"/>
        <x:v>47444</x:v>
      </x:c>
      <x:c r="G48" s="890">
        <x:f t="shared" si="5"/>
        <x:v>20</x:v>
      </x:c>
      <x:c r="H48" s="889">
        <x:v>46022</x:v>
      </x:c>
      <x:c r="I48" s="890">
        <x:f t="shared" si="0"/>
        <x:v>5</x:v>
      </x:c>
      <x:c r="J48" s="890">
        <x:f t="shared" si="6"/>
        <x:v>15</x:v>
      </x:c>
      <x:c r="K48" s="890">
        <x:f t="shared" si="7"/>
        <x:v>4</x:v>
      </x:c>
      <x:c r="L48" s="902">
        <x:v>8279.9699999999993</x:v>
      </x:c>
      <x:c r="M48" s="902">
        <x:f t="shared" si="1"/>
        <x:v>413.99849999999998</x:v>
      </x:c>
      <x:c r="N48" s="902">
        <x:f t="shared" si="2"/>
        <x:v>2069.9924999999998</x:v>
      </x:c>
      <x:c r="O48" s="903">
        <x:f t="shared" si="3"/>
        <x:v>6209.9774999999991</x:v>
      </x:c>
      <x:c r="P48" s="900">
        <x:f t="shared" si="8"/>
        <x:v>1655.9939999999999</x:v>
      </x:c>
    </x:row>
    <x:row r="49" spans="2:16" s="876" customFormat="1">
      <x:c r="B49" s="887" t="s">
        <x:v>1381</x:v>
      </x:c>
      <x:c r="C49" s="887" t="s">
        <x:v>1382</x:v>
      </x:c>
      <x:c r="D49" s="888">
        <x:v>4</x:v>
      </x:c>
      <x:c r="E49" s="889">
        <x:v>45630</x:v>
      </x:c>
      <x:c r="F49" s="889">
        <x:f t="shared" si="4"/>
        <x:v>47091</x:v>
      </x:c>
      <x:c r="G49" s="890">
        <x:f t="shared" si="5"/>
        <x:v>16</x:v>
      </x:c>
      <x:c r="H49" s="889">
        <x:v>46022</x:v>
      </x:c>
      <x:c r="I49" s="890">
        <x:f t="shared" si="0"/>
        <x:v>5</x:v>
      </x:c>
      <x:c r="J49" s="890">
        <x:f t="shared" si="6"/>
        <x:v>11</x:v>
      </x:c>
      <x:c r="K49" s="890">
        <x:f t="shared" si="7"/>
        <x:v>4</x:v>
      </x:c>
      <x:c r="L49" s="902">
        <x:v>36518.230000000003</x:v>
      </x:c>
      <x:c r="M49" s="902">
        <x:f t="shared" si="1"/>
        <x:v>2282.3893750000002</x:v>
      </x:c>
      <x:c r="N49" s="902">
        <x:f t="shared" si="2"/>
        <x:v>11411.946875000001</x:v>
      </x:c>
      <x:c r="O49" s="903">
        <x:f t="shared" si="3"/>
        <x:v>25106.283125000002</x:v>
      </x:c>
      <x:c r="P49" s="900">
        <x:f t="shared" si="8"/>
        <x:v>9129.5575000000008</x:v>
      </x:c>
    </x:row>
    <x:row r="50" spans="2:16" s="876" customFormat="1">
      <x:c r="B50" s="887" t="s">
        <x:v>1383</x:v>
      </x:c>
      <x:c r="C50" s="887" t="s">
        <x:v>1384</x:v>
      </x:c>
      <x:c r="D50" s="888">
        <x:v>4</x:v>
      </x:c>
      <x:c r="E50" s="889">
        <x:v>45744</x:v>
      </x:c>
      <x:c r="F50" s="889">
        <x:f t="shared" si="4"/>
        <x:v>47205</x:v>
      </x:c>
      <x:c r="G50" s="890">
        <x:f t="shared" si="5"/>
        <x:v>16</x:v>
      </x:c>
      <x:c r="H50" s="889">
        <x:v>46022</x:v>
      </x:c>
      <x:c r="I50" s="890">
        <x:f t="shared" si="0"/>
        <x:v>4</x:v>
      </x:c>
      <x:c r="J50" s="890">
        <x:f t="shared" si="6"/>
        <x:v>12</x:v>
      </x:c>
      <x:c r="K50" s="890">
        <x:f t="shared" si="7"/>
        <x:v>4</x:v>
      </x:c>
      <x:c r="L50" s="902">
        <x:v>11665.75</x:v>
      </x:c>
      <x:c r="M50" s="902">
        <x:f t="shared" si="1"/>
        <x:v>729.109375</x:v>
      </x:c>
      <x:c r="N50" s="902">
        <x:f t="shared" si="2"/>
        <x:v>2916.4375</x:v>
      </x:c>
      <x:c r="O50" s="903">
        <x:f t="shared" si="3"/>
        <x:v>8749.3125</x:v>
      </x:c>
      <x:c r="P50" s="900">
        <x:f t="shared" si="8"/>
        <x:v>2916.4375</x:v>
      </x:c>
    </x:row>
    <x:row r="51" spans="2:16" s="876" customFormat="1">
      <x:c r="B51" s="887" t="s">
        <x:v>1385</x:v>
      </x:c>
      <x:c r="C51" s="887" t="s">
        <x:v>1386</x:v>
      </x:c>
      <x:c r="D51" s="888">
        <x:v>5</x:v>
      </x:c>
      <x:c r="E51" s="889">
        <x:v>45754</x:v>
      </x:c>
      <x:c r="F51" s="889">
        <x:f t="shared" si="4"/>
        <x:v>47580</x:v>
      </x:c>
      <x:c r="G51" s="890">
        <x:f t="shared" si="5"/>
        <x:v>20</x:v>
      </x:c>
      <x:c r="H51" s="889">
        <x:v>46022</x:v>
      </x:c>
      <x:c r="I51" s="890">
        <x:f t="shared" si="0"/>
        <x:v>3</x:v>
      </x:c>
      <x:c r="J51" s="890">
        <x:f t="shared" si="6"/>
        <x:v>17</x:v>
      </x:c>
      <x:c r="K51" s="890">
        <x:f t="shared" si="7"/>
        <x:v>4</x:v>
      </x:c>
      <x:c r="L51" s="902">
        <x:v>13500</x:v>
      </x:c>
      <x:c r="M51" s="902">
        <x:f t="shared" si="1"/>
        <x:v>675</x:v>
      </x:c>
      <x:c r="N51" s="902">
        <x:f t="shared" si="2"/>
        <x:v>2025</x:v>
      </x:c>
      <x:c r="O51" s="903">
        <x:f t="shared" si="3"/>
        <x:v>11475</x:v>
      </x:c>
      <x:c r="P51" s="900">
        <x:f t="shared" si="8"/>
        <x:v>2700</x:v>
      </x:c>
    </x:row>
    <x:row r="52" spans="2:16" s="876" customFormat="1">
      <x:c r="B52" s="887" t="s">
        <x:v>1387</x:v>
      </x:c>
      <x:c r="C52" s="887" t="s">
        <x:v>1388</x:v>
      </x:c>
      <x:c r="D52" s="888">
        <x:v>15</x:v>
      </x:c>
      <x:c r="E52" s="889">
        <x:v>45800</x:v>
      </x:c>
      <x:c r="F52" s="889">
        <x:f t="shared" si="4"/>
        <x:v>51279</x:v>
      </x:c>
      <x:c r="G52" s="890">
        <x:f t="shared" si="5"/>
        <x:v>60</x:v>
      </x:c>
      <x:c r="H52" s="889">
        <x:v>46022</x:v>
      </x:c>
      <x:c r="I52" s="890">
        <x:f t="shared" si="0"/>
        <x:v>3</x:v>
      </x:c>
      <x:c r="J52" s="890">
        <x:f t="shared" si="6"/>
        <x:v>57</x:v>
      </x:c>
      <x:c r="K52" s="890">
        <x:f t="shared" si="7"/>
        <x:v>4</x:v>
      </x:c>
      <x:c r="L52" s="902">
        <x:v>30000</x:v>
      </x:c>
      <x:c r="M52" s="902">
        <x:f t="shared" si="1"/>
        <x:v>500</x:v>
      </x:c>
      <x:c r="N52" s="902">
        <x:f t="shared" si="2"/>
        <x:v>1500</x:v>
      </x:c>
      <x:c r="O52" s="903">
        <x:f t="shared" si="3"/>
        <x:v>28500</x:v>
      </x:c>
      <x:c r="P52" s="900">
        <x:f t="shared" si="8"/>
        <x:v>2000</x:v>
      </x:c>
    </x:row>
    <x:row r="53" spans="2:16" s="876" customFormat="1">
      <x:c r="B53" s="887" t="s">
        <x:v>1389</x:v>
      </x:c>
      <x:c r="C53" s="887" t="s">
        <x:v>1390</x:v>
      </x:c>
      <x:c r="D53" s="888">
        <x:v>15</x:v>
      </x:c>
      <x:c r="E53" s="889">
        <x:v>45805</x:v>
      </x:c>
      <x:c r="F53" s="889">
        <x:f t="shared" si="4"/>
        <x:v>51284</x:v>
      </x:c>
      <x:c r="G53" s="890">
        <x:f t="shared" si="5"/>
        <x:v>60</x:v>
      </x:c>
      <x:c r="H53" s="889">
        <x:v>46022</x:v>
      </x:c>
      <x:c r="I53" s="890">
        <x:f t="shared" si="0"/>
        <x:v>3</x:v>
      </x:c>
      <x:c r="J53" s="890">
        <x:f t="shared" si="6"/>
        <x:v>57</x:v>
      </x:c>
      <x:c r="K53" s="890">
        <x:f t="shared" si="7"/>
        <x:v>4</x:v>
      </x:c>
      <x:c r="L53" s="902">
        <x:v>51198.33</x:v>
      </x:c>
      <x:c r="M53" s="902">
        <x:f t="shared" si="1"/>
        <x:v>853.30550000000005</x:v>
      </x:c>
      <x:c r="N53" s="902">
        <x:f t="shared" si="2"/>
        <x:v>2559.9165000000003</x:v>
      </x:c>
      <x:c r="O53" s="903">
        <x:f t="shared" si="3"/>
        <x:v>48638.413500000002</x:v>
      </x:c>
      <x:c r="P53" s="900">
        <x:f t="shared" si="8"/>
        <x:v>3413.2220000000002</x:v>
      </x:c>
    </x:row>
    <x:row r="54" spans="2:16" s="876" customFormat="1">
      <x:c r="B54" s="887" t="s">
        <x:v>1391</x:v>
      </x:c>
      <x:c r="C54" s="887" t="s">
        <x:v>1392</x:v>
      </x:c>
      <x:c r="D54" s="888">
        <x:v>15</x:v>
      </x:c>
      <x:c r="E54" s="889">
        <x:v>45805</x:v>
      </x:c>
      <x:c r="F54" s="889">
        <x:f t="shared" si="4"/>
        <x:v>51284</x:v>
      </x:c>
      <x:c r="G54" s="890">
        <x:f t="shared" si="5"/>
        <x:v>60</x:v>
      </x:c>
      <x:c r="H54" s="889">
        <x:v>46022</x:v>
      </x:c>
      <x:c r="I54" s="890">
        <x:f t="shared" si="0"/>
        <x:v>3</x:v>
      </x:c>
      <x:c r="J54" s="890">
        <x:f t="shared" si="6"/>
        <x:v>57</x:v>
      </x:c>
      <x:c r="K54" s="890">
        <x:f t="shared" si="7"/>
        <x:v>4</x:v>
      </x:c>
      <x:c r="L54" s="902">
        <x:v>109147.5</x:v>
      </x:c>
      <x:c r="M54" s="902">
        <x:f t="shared" si="1"/>
        <x:v>1819.125</x:v>
      </x:c>
      <x:c r="N54" s="902">
        <x:f t="shared" si="2"/>
        <x:v>5457.375</x:v>
      </x:c>
      <x:c r="O54" s="903">
        <x:f t="shared" si="3"/>
        <x:v>103690.125</x:v>
      </x:c>
      <x:c r="P54" s="900">
        <x:f t="shared" si="8"/>
        <x:v>7276.5</x:v>
      </x:c>
    </x:row>
    <x:row r="55" spans="2:16" s="876" customFormat="1">
      <x:c r="B55" s="887" t="s">
        <x:v>1393</x:v>
      </x:c>
      <x:c r="C55" s="887" t="s">
        <x:v>1394</x:v>
      </x:c>
      <x:c r="D55" s="888">
        <x:v>15</x:v>
      </x:c>
      <x:c r="E55" s="889">
        <x:v>45805</x:v>
      </x:c>
      <x:c r="F55" s="889">
        <x:f t="shared" si="4"/>
        <x:v>51284</x:v>
      </x:c>
      <x:c r="G55" s="890">
        <x:f t="shared" si="5"/>
        <x:v>60</x:v>
      </x:c>
      <x:c r="H55" s="889">
        <x:v>46022</x:v>
      </x:c>
      <x:c r="I55" s="890">
        <x:f t="shared" si="0"/>
        <x:v>3</x:v>
      </x:c>
      <x:c r="J55" s="890">
        <x:f t="shared" si="6"/>
        <x:v>57</x:v>
      </x:c>
      <x:c r="K55" s="890">
        <x:f t="shared" si="7"/>
        <x:v>4</x:v>
      </x:c>
      <x:c r="L55" s="902">
        <x:v>129105</x:v>
      </x:c>
      <x:c r="M55" s="902">
        <x:f t="shared" si="1"/>
        <x:v>2151.75</x:v>
      </x:c>
      <x:c r="N55" s="902">
        <x:f t="shared" si="2"/>
        <x:v>6455.25</x:v>
      </x:c>
      <x:c r="O55" s="903">
        <x:f t="shared" si="3"/>
        <x:v>122649.75</x:v>
      </x:c>
      <x:c r="P55" s="900">
        <x:f t="shared" si="8"/>
        <x:v>8607</x:v>
      </x:c>
    </x:row>
    <x:row r="56" spans="2:16" s="876" customFormat="1">
      <x:c r="B56" s="887" t="s">
        <x:v>1395</x:v>
      </x:c>
      <x:c r="C56" s="887" t="s">
        <x:v>1396</x:v>
      </x:c>
      <x:c r="D56" s="888">
        <x:v>3</x:v>
      </x:c>
      <x:c r="E56" s="889">
        <x:v>45812</x:v>
      </x:c>
      <x:c r="F56" s="889">
        <x:f t="shared" si="4"/>
        <x:v>46908</x:v>
      </x:c>
      <x:c r="G56" s="890">
        <x:f t="shared" si="5"/>
        <x:v>12</x:v>
      </x:c>
      <x:c r="H56" s="889">
        <x:v>46022</x:v>
      </x:c>
      <x:c r="I56" s="890">
        <x:f t="shared" si="0"/>
        <x:v>3</x:v>
      </x:c>
      <x:c r="J56" s="890">
        <x:f t="shared" si="6"/>
        <x:v>9</x:v>
      </x:c>
      <x:c r="K56" s="890">
        <x:f t="shared" si="7"/>
        <x:v>4</x:v>
      </x:c>
      <x:c r="L56" s="902">
        <x:v>1231837.6499999999</x:v>
      </x:c>
      <x:c r="M56" s="902">
        <x:f t="shared" si="1"/>
        <x:v>102653.1375</x:v>
      </x:c>
      <x:c r="N56" s="902">
        <x:f t="shared" si="2"/>
        <x:v>307959.41249999998</x:v>
      </x:c>
      <x:c r="O56" s="903">
        <x:f t="shared" si="3"/>
        <x:v>923878.23749999993</x:v>
      </x:c>
      <x:c r="P56" s="900">
        <x:f t="shared" si="8"/>
        <x:v>410612.55</x:v>
      </x:c>
    </x:row>
    <x:row r="57" spans="2:16" s="876" customFormat="1">
      <x:c r="B57" s="887" t="s">
        <x:v>1397</x:v>
      </x:c>
      <x:c r="C57" s="887" t="s">
        <x:v>1398</x:v>
      </x:c>
      <x:c r="D57" s="888">
        <x:v>6</x:v>
      </x:c>
      <x:c r="E57" s="889">
        <x:v>45828</x:v>
      </x:c>
      <x:c r="F57" s="889">
        <x:f t="shared" si="4"/>
        <x:v>48019</x:v>
      </x:c>
      <x:c r="G57" s="890">
        <x:f t="shared" si="5"/>
        <x:v>24</x:v>
      </x:c>
      <x:c r="H57" s="889">
        <x:v>46022</x:v>
      </x:c>
      <x:c r="I57" s="890">
        <x:f t="shared" si="0"/>
        <x:v>3</x:v>
      </x:c>
      <x:c r="J57" s="890">
        <x:f t="shared" si="6"/>
        <x:v>21</x:v>
      </x:c>
      <x:c r="K57" s="890">
        <x:f t="shared" si="7"/>
        <x:v>4</x:v>
      </x:c>
      <x:c r="L57" s="902">
        <x:v>9005.5</x:v>
      </x:c>
      <x:c r="M57" s="902">
        <x:f t="shared" si="1"/>
        <x:v>375.22916666666669</x:v>
      </x:c>
      <x:c r="N57" s="902">
        <x:f t="shared" si="2"/>
        <x:v>1125.6875</x:v>
      </x:c>
      <x:c r="O57" s="903">
        <x:f t="shared" si="3"/>
        <x:v>7879.8125</x:v>
      </x:c>
      <x:c r="P57" s="900">
        <x:f t="shared" si="8"/>
        <x:v>1500.9166666666667</x:v>
      </x:c>
    </x:row>
    <x:row r="58" spans="2:16" s="876" customFormat="1">
      <x:c r="B58" s="887" t="s">
        <x:v>1399</x:v>
      </x:c>
      <x:c r="C58" s="887" t="s">
        <x:v>1400</x:v>
      </x:c>
      <x:c r="D58" s="888">
        <x:v>5</x:v>
      </x:c>
      <x:c r="E58" s="889">
        <x:v>45832</x:v>
      </x:c>
      <x:c r="F58" s="889">
        <x:f t="shared" si="4"/>
        <x:v>47658</x:v>
      </x:c>
      <x:c r="G58" s="890">
        <x:f t="shared" si="5"/>
        <x:v>20</x:v>
      </x:c>
      <x:c r="H58" s="889">
        <x:v>46022</x:v>
      </x:c>
      <x:c r="I58" s="890">
        <x:f t="shared" si="0"/>
        <x:v>3</x:v>
      </x:c>
      <x:c r="J58" s="890">
        <x:f t="shared" si="6"/>
        <x:v>17</x:v>
      </x:c>
      <x:c r="K58" s="890">
        <x:f t="shared" si="7"/>
        <x:v>4</x:v>
      </x:c>
      <x:c r="L58" s="902">
        <x:v>15000</x:v>
      </x:c>
      <x:c r="M58" s="902">
        <x:f t="shared" si="1"/>
        <x:v>750</x:v>
      </x:c>
      <x:c r="N58" s="902">
        <x:f t="shared" si="2"/>
        <x:v>2250</x:v>
      </x:c>
      <x:c r="O58" s="903">
        <x:f t="shared" si="3"/>
        <x:v>12750</x:v>
      </x:c>
      <x:c r="P58" s="900">
        <x:f t="shared" si="8"/>
        <x:v>3000</x:v>
      </x:c>
    </x:row>
    <x:row r="59" spans="2:16" s="876" customFormat="1">
      <x:c r="B59" s="887" t="s">
        <x:v>1401</x:v>
      </x:c>
      <x:c r="C59" s="887" t="s">
        <x:v>1402</x:v>
      </x:c>
      <x:c r="D59" s="888">
        <x:v>4</x:v>
      </x:c>
      <x:c r="E59" s="889">
        <x:v>45833</x:v>
      </x:c>
      <x:c r="F59" s="889">
        <x:f t="shared" si="4"/>
        <x:v>47294</x:v>
      </x:c>
      <x:c r="G59" s="890">
        <x:f t="shared" si="5"/>
        <x:v>16</x:v>
      </x:c>
      <x:c r="H59" s="889">
        <x:v>46022</x:v>
      </x:c>
      <x:c r="I59" s="890">
        <x:f t="shared" si="0"/>
        <x:v>3</x:v>
      </x:c>
      <x:c r="J59" s="890">
        <x:f t="shared" si="6"/>
        <x:v>13</x:v>
      </x:c>
      <x:c r="K59" s="890">
        <x:f t="shared" si="7"/>
        <x:v>4</x:v>
      </x:c>
      <x:c r="L59" s="902">
        <x:v>8333.33</x:v>
      </x:c>
      <x:c r="M59" s="902">
        <x:f t="shared" si="1"/>
        <x:v>520.833125</x:v>
      </x:c>
      <x:c r="N59" s="902">
        <x:f t="shared" si="2"/>
        <x:v>1562.4993749999999</x:v>
      </x:c>
      <x:c r="O59" s="903">
        <x:f t="shared" si="3"/>
        <x:v>6770.8306250000005</x:v>
      </x:c>
      <x:c r="P59" s="900">
        <x:f t="shared" si="8"/>
        <x:v>2083.3325</x:v>
      </x:c>
    </x:row>
    <x:row r="60" spans="2:16" s="876" customFormat="1">
      <x:c r="B60" s="887" t="s">
        <x:v>1403</x:v>
      </x:c>
      <x:c r="C60" s="887" t="s">
        <x:v>1404</x:v>
      </x:c>
      <x:c r="D60" s="888">
        <x:v>5</x:v>
      </x:c>
      <x:c r="E60" s="889">
        <x:v>45834</x:v>
      </x:c>
      <x:c r="F60" s="889">
        <x:f t="shared" si="4"/>
        <x:v>47660</x:v>
      </x:c>
      <x:c r="G60" s="890">
        <x:f t="shared" si="5"/>
        <x:v>20</x:v>
      </x:c>
      <x:c r="H60" s="889">
        <x:v>46022</x:v>
      </x:c>
      <x:c r="I60" s="890">
        <x:f t="shared" si="0"/>
        <x:v>3</x:v>
      </x:c>
      <x:c r="J60" s="890">
        <x:f t="shared" si="6"/>
        <x:v>17</x:v>
      </x:c>
      <x:c r="K60" s="890">
        <x:f t="shared" si="7"/>
        <x:v>4</x:v>
      </x:c>
      <x:c r="L60" s="902">
        <x:v>12723.64</x:v>
      </x:c>
      <x:c r="M60" s="902">
        <x:f t="shared" si="1"/>
        <x:v>636.18200000000002</x:v>
      </x:c>
      <x:c r="N60" s="902">
        <x:f t="shared" si="2"/>
        <x:v>1908.546</x:v>
      </x:c>
      <x:c r="O60" s="903">
        <x:f t="shared" si="3"/>
        <x:v>10815.093999999999</x:v>
      </x:c>
      <x:c r="P60" s="900">
        <x:f t="shared" si="8"/>
        <x:v>2544.7280000000001</x:v>
      </x:c>
    </x:row>
    <x:row r="61" spans="2:16" s="876" customFormat="1">
      <x:c r="B61" s="887" t="s">
        <x:v>1405</x:v>
      </x:c>
      <x:c r="C61" s="887" t="s">
        <x:v>1406</x:v>
      </x:c>
      <x:c r="D61" s="888">
        <x:v>4</x:v>
      </x:c>
      <x:c r="E61" s="889">
        <x:v>45833</x:v>
      </x:c>
      <x:c r="F61" s="889">
        <x:f t="shared" si="4"/>
        <x:v>47294</x:v>
      </x:c>
      <x:c r="G61" s="890">
        <x:f t="shared" si="5"/>
        <x:v>16</x:v>
      </x:c>
      <x:c r="H61" s="889">
        <x:v>46022</x:v>
      </x:c>
      <x:c r="I61" s="890">
        <x:f t="shared" si="0"/>
        <x:v>3</x:v>
      </x:c>
      <x:c r="J61" s="890">
        <x:f t="shared" si="6"/>
        <x:v>13</x:v>
      </x:c>
      <x:c r="K61" s="890">
        <x:f t="shared" si="7"/>
        <x:v>4</x:v>
      </x:c>
      <x:c r="L61" s="902">
        <x:v>17149.18</x:v>
      </x:c>
      <x:c r="M61" s="902">
        <x:f t="shared" si="1"/>
        <x:v>1071.82375</x:v>
      </x:c>
      <x:c r="N61" s="902">
        <x:f t="shared" si="2"/>
        <x:v>3215.4712500000001</x:v>
      </x:c>
      <x:c r="O61" s="903">
        <x:f t="shared" si="3"/>
        <x:v>13933.70875</x:v>
      </x:c>
      <x:c r="P61" s="900">
        <x:f t="shared" si="8"/>
        <x:v>4287.2950000000001</x:v>
      </x:c>
    </x:row>
    <x:row r="62" spans="2:16" s="876" customFormat="1">
      <x:c r="B62" s="887" t="s">
        <x:v>1407</x:v>
      </x:c>
      <x:c r="C62" s="887" t="s">
        <x:v>1408</x:v>
      </x:c>
      <x:c r="D62" s="888">
        <x:v>4</x:v>
      </x:c>
      <x:c r="E62" s="889">
        <x:v>45838</x:v>
      </x:c>
      <x:c r="F62" s="889">
        <x:f t="shared" si="4"/>
        <x:v>47299</x:v>
      </x:c>
      <x:c r="G62" s="890">
        <x:f t="shared" si="5"/>
        <x:v>16</x:v>
      </x:c>
      <x:c r="H62" s="889">
        <x:v>46022</x:v>
      </x:c>
      <x:c r="I62" s="890">
        <x:f t="shared" si="0"/>
        <x:v>3</x:v>
      </x:c>
      <x:c r="J62" s="890">
        <x:f t="shared" si="6"/>
        <x:v>13</x:v>
      </x:c>
      <x:c r="K62" s="890">
        <x:f t="shared" si="7"/>
        <x:v>4</x:v>
      </x:c>
      <x:c r="L62" s="902">
        <x:v>15925.6</x:v>
      </x:c>
      <x:c r="M62" s="902">
        <x:f t="shared" si="1"/>
        <x:v>995.35</x:v>
      </x:c>
      <x:c r="N62" s="902">
        <x:f t="shared" si="2"/>
        <x:v>2986.05</x:v>
      </x:c>
      <x:c r="O62" s="903">
        <x:f t="shared" si="3"/>
        <x:v>12939.55</x:v>
      </x:c>
      <x:c r="P62" s="900">
        <x:f t="shared" si="8"/>
        <x:v>3981.4</x:v>
      </x:c>
    </x:row>
    <x:row r="63" spans="2:16" s="876" customFormat="1">
      <x:c r="B63" s="887" t="s">
        <x:v>1409</x:v>
      </x:c>
      <x:c r="C63" s="887" t="s">
        <x:v>1410</x:v>
      </x:c>
      <x:c r="D63" s="888">
        <x:v>5</x:v>
      </x:c>
      <x:c r="E63" s="889">
        <x:v>45838</x:v>
      </x:c>
      <x:c r="F63" s="889">
        <x:f t="shared" si="4"/>
        <x:v>47664</x:v>
      </x:c>
      <x:c r="G63" s="890">
        <x:f t="shared" si="5"/>
        <x:v>20</x:v>
      </x:c>
      <x:c r="H63" s="889">
        <x:v>46022</x:v>
      </x:c>
      <x:c r="I63" s="890">
        <x:f t="shared" si="0"/>
        <x:v>3</x:v>
      </x:c>
      <x:c r="J63" s="890">
        <x:f t="shared" si="6"/>
        <x:v>17</x:v>
      </x:c>
      <x:c r="K63" s="890">
        <x:f t="shared" si="7"/>
        <x:v>4</x:v>
      </x:c>
      <x:c r="L63" s="902">
        <x:v>15200</x:v>
      </x:c>
      <x:c r="M63" s="902">
        <x:f t="shared" si="1"/>
        <x:v>760</x:v>
      </x:c>
      <x:c r="N63" s="902">
        <x:f t="shared" si="2"/>
        <x:v>2280</x:v>
      </x:c>
      <x:c r="O63" s="903">
        <x:f t="shared" si="3"/>
        <x:v>12920</x:v>
      </x:c>
      <x:c r="P63" s="900">
        <x:f t="shared" si="8"/>
        <x:v>3040</x:v>
      </x:c>
    </x:row>
    <x:row r="64" spans="2:16" s="876" customFormat="1">
      <x:c r="B64" s="887" t="s">
        <x:v>1411</x:v>
      </x:c>
      <x:c r="C64" s="887" t="s">
        <x:v>1412</x:v>
      </x:c>
      <x:c r="D64" s="888">
        <x:v>5</x:v>
      </x:c>
      <x:c r="E64" s="889">
        <x:v>45838</x:v>
      </x:c>
      <x:c r="F64" s="889">
        <x:f t="shared" si="4"/>
        <x:v>47664</x:v>
      </x:c>
      <x:c r="G64" s="890">
        <x:f t="shared" si="5"/>
        <x:v>20</x:v>
      </x:c>
      <x:c r="H64" s="889">
        <x:v>46022</x:v>
      </x:c>
      <x:c r="I64" s="890">
        <x:f t="shared" si="0"/>
        <x:v>3</x:v>
      </x:c>
      <x:c r="J64" s="890">
        <x:f t="shared" si="6"/>
        <x:v>17</x:v>
      </x:c>
      <x:c r="K64" s="890">
        <x:f t="shared" si="7"/>
        <x:v>4</x:v>
      </x:c>
      <x:c r="L64" s="902">
        <x:v>7200</x:v>
      </x:c>
      <x:c r="M64" s="902">
        <x:f t="shared" si="1"/>
        <x:v>360</x:v>
      </x:c>
      <x:c r="N64" s="902">
        <x:f t="shared" si="2"/>
        <x:v>1080</x:v>
      </x:c>
      <x:c r="O64" s="903">
        <x:f t="shared" si="3"/>
        <x:v>6120</x:v>
      </x:c>
      <x:c r="P64" s="900">
        <x:f t="shared" si="8"/>
        <x:v>1440</x:v>
      </x:c>
    </x:row>
    <x:row r="65" spans="2:16" s="876" customFormat="1">
      <x:c r="B65" s="887" t="s">
        <x:v>1413</x:v>
      </x:c>
      <x:c r="C65" s="887" t="s">
        <x:v>1414</x:v>
      </x:c>
      <x:c r="D65" s="888">
        <x:v>5</x:v>
      </x:c>
      <x:c r="E65" s="889">
        <x:v>45838</x:v>
      </x:c>
      <x:c r="F65" s="889">
        <x:f t="shared" si="4"/>
        <x:v>47664</x:v>
      </x:c>
      <x:c r="G65" s="890">
        <x:f t="shared" si="5"/>
        <x:v>20</x:v>
      </x:c>
      <x:c r="H65" s="889">
        <x:v>46022</x:v>
      </x:c>
      <x:c r="I65" s="890">
        <x:f t="shared" si="0"/>
        <x:v>3</x:v>
      </x:c>
      <x:c r="J65" s="890">
        <x:f t="shared" si="6"/>
        <x:v>17</x:v>
      </x:c>
      <x:c r="K65" s="890">
        <x:f t="shared" si="7"/>
        <x:v>4</x:v>
      </x:c>
      <x:c r="L65" s="902">
        <x:v>11400</x:v>
      </x:c>
      <x:c r="M65" s="902">
        <x:f t="shared" si="1"/>
        <x:v>570</x:v>
      </x:c>
      <x:c r="N65" s="902">
        <x:f t="shared" si="2"/>
        <x:v>1710</x:v>
      </x:c>
      <x:c r="O65" s="903">
        <x:f t="shared" si="3"/>
        <x:v>9690</x:v>
      </x:c>
      <x:c r="P65" s="900">
        <x:f t="shared" si="8"/>
        <x:v>2280</x:v>
      </x:c>
    </x:row>
    <x:row r="66" spans="2:16" s="876" customFormat="1">
      <x:c r="B66" s="887" t="s">
        <x:v>1415</x:v>
      </x:c>
      <x:c r="C66" s="887" t="s">
        <x:v>1416</x:v>
      </x:c>
      <x:c r="D66" s="888">
        <x:v>5</x:v>
      </x:c>
      <x:c r="E66" s="889">
        <x:v>45838</x:v>
      </x:c>
      <x:c r="F66" s="889">
        <x:f t="shared" si="4"/>
        <x:v>47664</x:v>
      </x:c>
      <x:c r="G66" s="890">
        <x:f t="shared" si="5"/>
        <x:v>20</x:v>
      </x:c>
      <x:c r="H66" s="889">
        <x:v>46022</x:v>
      </x:c>
      <x:c r="I66" s="890">
        <x:f t="shared" si="0"/>
        <x:v>3</x:v>
      </x:c>
      <x:c r="J66" s="890">
        <x:f t="shared" si="6"/>
        <x:v>17</x:v>
      </x:c>
      <x:c r="K66" s="890">
        <x:f t="shared" si="7"/>
        <x:v>4</x:v>
      </x:c>
      <x:c r="L66" s="902">
        <x:v>13680</x:v>
      </x:c>
      <x:c r="M66" s="902">
        <x:f t="shared" si="1"/>
        <x:v>684</x:v>
      </x:c>
      <x:c r="N66" s="902">
        <x:f t="shared" si="2"/>
        <x:v>2052</x:v>
      </x:c>
      <x:c r="O66" s="903">
        <x:f t="shared" si="3"/>
        <x:v>11628</x:v>
      </x:c>
      <x:c r="P66" s="900">
        <x:f t="shared" si="8"/>
        <x:v>2736</x:v>
      </x:c>
    </x:row>
    <x:row r="67" spans="2:16" s="876" customFormat="1">
      <x:c r="B67" s="887" t="s">
        <x:v>1417</x:v>
      </x:c>
      <x:c r="C67" s="887" t="s">
        <x:v>1418</x:v>
      </x:c>
      <x:c r="D67" s="888">
        <x:v>5</x:v>
      </x:c>
      <x:c r="E67" s="889">
        <x:v>45838</x:v>
      </x:c>
      <x:c r="F67" s="889">
        <x:f t="shared" si="4"/>
        <x:v>47664</x:v>
      </x:c>
      <x:c r="G67" s="890">
        <x:f t="shared" si="5"/>
        <x:v>20</x:v>
      </x:c>
      <x:c r="H67" s="889">
        <x:v>46022</x:v>
      </x:c>
      <x:c r="I67" s="890">
        <x:f t="shared" si="0"/>
        <x:v>3</x:v>
      </x:c>
      <x:c r="J67" s="890">
        <x:f t="shared" si="6"/>
        <x:v>17</x:v>
      </x:c>
      <x:c r="K67" s="890">
        <x:f t="shared" si="7"/>
        <x:v>4</x:v>
      </x:c>
      <x:c r="L67" s="902">
        <x:v>11260</x:v>
      </x:c>
      <x:c r="M67" s="902">
        <x:f t="shared" si="1"/>
        <x:v>563</x:v>
      </x:c>
      <x:c r="N67" s="902">
        <x:f t="shared" si="2"/>
        <x:v>1689</x:v>
      </x:c>
      <x:c r="O67" s="903">
        <x:f t="shared" si="3"/>
        <x:v>9571</x:v>
      </x:c>
      <x:c r="P67" s="900">
        <x:f t="shared" si="8"/>
        <x:v>2252</x:v>
      </x:c>
    </x:row>
    <x:row r="68" spans="2:16" s="876" customFormat="1">
      <x:c r="B68" s="887" t="s">
        <x:v>1419</x:v>
      </x:c>
      <x:c r="C68" s="887" t="s">
        <x:v>1420</x:v>
      </x:c>
      <x:c r="D68" s="888">
        <x:v>5</x:v>
      </x:c>
      <x:c r="E68" s="889">
        <x:v>45835</x:v>
      </x:c>
      <x:c r="F68" s="889">
        <x:f t="shared" si="4"/>
        <x:v>47661</x:v>
      </x:c>
      <x:c r="G68" s="890">
        <x:f t="shared" si="5"/>
        <x:v>20</x:v>
      </x:c>
      <x:c r="H68" s="889">
        <x:v>46022</x:v>
      </x:c>
      <x:c r="I68" s="890">
        <x:f t="shared" si="0"/>
        <x:v>3</x:v>
      </x:c>
      <x:c r="J68" s="890">
        <x:f t="shared" si="6"/>
        <x:v>17</x:v>
      </x:c>
      <x:c r="K68" s="890">
        <x:f t="shared" si="7"/>
        <x:v>4</x:v>
      </x:c>
      <x:c r="L68" s="902">
        <x:v>13712.73</x:v>
      </x:c>
      <x:c r="M68" s="902">
        <x:f t="shared" si="1"/>
        <x:v>685.63649999999996</x:v>
      </x:c>
      <x:c r="N68" s="902">
        <x:f t="shared" si="2"/>
        <x:v>2056.9094999999998</x:v>
      </x:c>
      <x:c r="O68" s="903">
        <x:f t="shared" si="3"/>
        <x:v>11655.8205</x:v>
      </x:c>
      <x:c r="P68" s="900">
        <x:f t="shared" si="8"/>
        <x:v>2742.5459999999998</x:v>
      </x:c>
    </x:row>
    <x:row r="69" spans="2:16" s="876" customFormat="1">
      <x:c r="B69" s="887" t="s">
        <x:v>1421</x:v>
      </x:c>
      <x:c r="C69" s="887" t="s">
        <x:v>1422</x:v>
      </x:c>
      <x:c r="D69" s="888">
        <x:v>4</x:v>
      </x:c>
      <x:c r="E69" s="889">
        <x:v>45842</x:v>
      </x:c>
      <x:c r="F69" s="889">
        <x:f t="shared" si="4"/>
        <x:v>47303</x:v>
      </x:c>
      <x:c r="G69" s="890">
        <x:f t="shared" si="5"/>
        <x:v>16</x:v>
      </x:c>
      <x:c r="H69" s="889">
        <x:v>46022</x:v>
      </x:c>
      <x:c r="I69" s="890">
        <x:f t="shared" si="0"/>
        <x:v>2</x:v>
      </x:c>
      <x:c r="J69" s="890">
        <x:f t="shared" si="6"/>
        <x:v>14</x:v>
      </x:c>
      <x:c r="K69" s="890">
        <x:f t="shared" si="7"/>
        <x:v>4</x:v>
      </x:c>
      <x:c r="L69" s="902">
        <x:v>14166.67</x:v>
      </x:c>
      <x:c r="M69" s="902">
        <x:f t="shared" si="1"/>
        <x:v>885.416875</x:v>
      </x:c>
      <x:c r="N69" s="902">
        <x:f t="shared" si="2"/>
        <x:v>1770.83375</x:v>
      </x:c>
      <x:c r="O69" s="903">
        <x:f t="shared" si="3"/>
        <x:v>12395.83625</x:v>
      </x:c>
      <x:c r="P69" s="900">
        <x:f t="shared" si="8"/>
        <x:v>3541.6675</x:v>
      </x:c>
    </x:row>
    <x:row r="70" spans="2:16" s="876" customFormat="1">
      <x:c r="B70" s="887" t="s">
        <x:v>1423</x:v>
      </x:c>
      <x:c r="C70" s="887" t="s">
        <x:v>1424</x:v>
      </x:c>
      <x:c r="D70" s="888">
        <x:v>5</x:v>
      </x:c>
      <x:c r="E70" s="889">
        <x:v>45845</x:v>
      </x:c>
      <x:c r="F70" s="889">
        <x:f t="shared" si="4"/>
        <x:v>47671</x:v>
      </x:c>
      <x:c r="G70" s="890">
        <x:f t="shared" si="5"/>
        <x:v>20</x:v>
      </x:c>
      <x:c r="H70" s="889">
        <x:v>46022</x:v>
      </x:c>
      <x:c r="I70" s="890">
        <x:f t="shared" ref="I70:I99" si="9">+(YEAR(H70)-YEAR(E70))*4+(INT((MONTH(H70)-1)/3)+1)-(INT((MONTH(E70)-1)/3)+1)+1</x:f>
        <x:v>2</x:v>
      </x:c>
      <x:c r="J70" s="890">
        <x:f t="shared" si="6"/>
        <x:v>18</x:v>
      </x:c>
      <x:c r="K70" s="890">
        <x:f t="shared" si="7"/>
        <x:v>4</x:v>
      </x:c>
      <x:c r="L70" s="902">
        <x:v>24550.69</x:v>
      </x:c>
      <x:c r="M70" s="902">
        <x:f t="shared" ref="M70:M101" si="10">+L70/G70</x:f>
        <x:v>1227.5345</x:v>
      </x:c>
      <x:c r="N70" s="902">
        <x:f t="shared" ref="N70:N101" si="11">+M70*I70</x:f>
        <x:v>2455.069</x:v>
      </x:c>
      <x:c r="O70" s="903">
        <x:f t="shared" ref="O70:O99" si="12">+L70-N70</x:f>
        <x:v>22095.620999999999</x:v>
      </x:c>
      <x:c r="P70" s="900">
        <x:f t="shared" si="8"/>
        <x:v>4910.1379999999999</x:v>
      </x:c>
    </x:row>
    <x:row r="71" spans="2:16" s="876" customFormat="1">
      <x:c r="B71" s="887" t="s">
        <x:v>1425</x:v>
      </x:c>
      <x:c r="C71" s="887" t="s">
        <x:v>1426</x:v>
      </x:c>
      <x:c r="D71" s="888">
        <x:v>5</x:v>
      </x:c>
      <x:c r="E71" s="889">
        <x:v>45845</x:v>
      </x:c>
      <x:c r="F71" s="889">
        <x:f t="shared" ref="F71:F101" si="13">+EDATE(E71,D71*12)</x:f>
        <x:v>47671</x:v>
      </x:c>
      <x:c r="G71" s="890">
        <x:f t="shared" ref="G71:G101" si="14">+(YEAR(F71)-YEAR(E71))*4+(INT((MONTH(F71)-1)/3)+1)-(INT((MONTH(E71)-1)/3)+1)</x:f>
        <x:v>20</x:v>
      </x:c>
      <x:c r="H71" s="889">
        <x:v>46022</x:v>
      </x:c>
      <x:c r="I71" s="890">
        <x:f t="shared" si="9"/>
        <x:v>2</x:v>
      </x:c>
      <x:c r="J71" s="890">
        <x:f t="shared" ref="J71:J101" si="15">+G71-I71</x:f>
        <x:v>18</x:v>
      </x:c>
      <x:c r="K71" s="890">
        <x:f t="shared" ref="K71:K101" si="16">IF(J71&lt;4,J71,4)</x:f>
        <x:v>4</x:v>
      </x:c>
      <x:c r="L71" s="902">
        <x:v>7000</x:v>
      </x:c>
      <x:c r="M71" s="902">
        <x:f t="shared" si="10"/>
        <x:v>350</x:v>
      </x:c>
      <x:c r="N71" s="902">
        <x:f t="shared" si="11"/>
        <x:v>700</x:v>
      </x:c>
      <x:c r="O71" s="903">
        <x:f t="shared" si="12"/>
        <x:v>6300</x:v>
      </x:c>
      <x:c r="P71" s="900">
        <x:f t="shared" ref="P71:P101" si="17">+M71*K71</x:f>
        <x:v>1400</x:v>
      </x:c>
    </x:row>
    <x:row r="72" spans="2:16" s="876" customFormat="1">
      <x:c r="B72" s="887" t="s">
        <x:v>1427</x:v>
      </x:c>
      <x:c r="C72" s="887" t="s">
        <x:v>1428</x:v>
      </x:c>
      <x:c r="D72" s="888">
        <x:v>5</x:v>
      </x:c>
      <x:c r="E72" s="889">
        <x:v>45845</x:v>
      </x:c>
      <x:c r="F72" s="889">
        <x:f t="shared" si="13"/>
        <x:v>47671</x:v>
      </x:c>
      <x:c r="G72" s="890">
        <x:f t="shared" si="14"/>
        <x:v>20</x:v>
      </x:c>
      <x:c r="H72" s="889">
        <x:v>46022</x:v>
      </x:c>
      <x:c r="I72" s="890">
        <x:f t="shared" si="9"/>
        <x:v>2</x:v>
      </x:c>
      <x:c r="J72" s="890">
        <x:f t="shared" si="15"/>
        <x:v>18</x:v>
      </x:c>
      <x:c r="K72" s="890">
        <x:f t="shared" si="16"/>
        <x:v>4</x:v>
      </x:c>
      <x:c r="L72" s="902">
        <x:v>6200</x:v>
      </x:c>
      <x:c r="M72" s="902">
        <x:f t="shared" si="10"/>
        <x:v>310</x:v>
      </x:c>
      <x:c r="N72" s="902">
        <x:f t="shared" si="11"/>
        <x:v>620</x:v>
      </x:c>
      <x:c r="O72" s="903">
        <x:f t="shared" si="12"/>
        <x:v>5580</x:v>
      </x:c>
      <x:c r="P72" s="900">
        <x:f t="shared" si="17"/>
        <x:v>1240</x:v>
      </x:c>
    </x:row>
    <x:row r="73" spans="2:16" s="876" customFormat="1">
      <x:c r="B73" s="887" t="s">
        <x:v>1429</x:v>
      </x:c>
      <x:c r="C73" s="887" t="s">
        <x:v>1430</x:v>
      </x:c>
      <x:c r="D73" s="888">
        <x:v>5</x:v>
      </x:c>
      <x:c r="E73" s="889">
        <x:v>45846</x:v>
      </x:c>
      <x:c r="F73" s="889">
        <x:f t="shared" si="13"/>
        <x:v>47672</x:v>
      </x:c>
      <x:c r="G73" s="890">
        <x:f t="shared" si="14"/>
        <x:v>20</x:v>
      </x:c>
      <x:c r="H73" s="889">
        <x:v>46022</x:v>
      </x:c>
      <x:c r="I73" s="890">
        <x:f t="shared" si="9"/>
        <x:v>2</x:v>
      </x:c>
      <x:c r="J73" s="890">
        <x:f t="shared" si="15"/>
        <x:v>18</x:v>
      </x:c>
      <x:c r="K73" s="890">
        <x:f t="shared" si="16"/>
        <x:v>4</x:v>
      </x:c>
      <x:c r="L73" s="902">
        <x:v>15353.78</x:v>
      </x:c>
      <x:c r="M73" s="902">
        <x:f t="shared" si="10"/>
        <x:v>767.68900000000008</x:v>
      </x:c>
      <x:c r="N73" s="902">
        <x:f t="shared" si="11"/>
        <x:v>1535.3780000000002</x:v>
      </x:c>
      <x:c r="O73" s="903">
        <x:f t="shared" si="12"/>
        <x:v>13818.402</x:v>
      </x:c>
      <x:c r="P73" s="900">
        <x:f t="shared" si="17"/>
        <x:v>3070.7560000000003</x:v>
      </x:c>
    </x:row>
    <x:row r="74" spans="2:16" s="876" customFormat="1">
      <x:c r="B74" s="887" t="s">
        <x:v>1431</x:v>
      </x:c>
      <x:c r="C74" s="887" t="s">
        <x:v>1432</x:v>
      </x:c>
      <x:c r="D74" s="888">
        <x:v>10</x:v>
      </x:c>
      <x:c r="E74" s="889">
        <x:v>45852</x:v>
      </x:c>
      <x:c r="F74" s="889">
        <x:f t="shared" si="13"/>
        <x:v>49504</x:v>
      </x:c>
      <x:c r="G74" s="890">
        <x:f t="shared" si="14"/>
        <x:v>40</x:v>
      </x:c>
      <x:c r="H74" s="889">
        <x:v>46022</x:v>
      </x:c>
      <x:c r="I74" s="890">
        <x:f t="shared" si="9"/>
        <x:v>2</x:v>
      </x:c>
      <x:c r="J74" s="890">
        <x:f t="shared" si="15"/>
        <x:v>38</x:v>
      </x:c>
      <x:c r="K74" s="890">
        <x:f t="shared" si="16"/>
        <x:v>4</x:v>
      </x:c>
      <x:c r="L74" s="902">
        <x:v>9200</x:v>
      </x:c>
      <x:c r="M74" s="902">
        <x:f t="shared" si="10"/>
        <x:v>230</x:v>
      </x:c>
      <x:c r="N74" s="902">
        <x:f t="shared" si="11"/>
        <x:v>460</x:v>
      </x:c>
      <x:c r="O74" s="903">
        <x:f t="shared" si="12"/>
        <x:v>8740</x:v>
      </x:c>
      <x:c r="P74" s="900">
        <x:f t="shared" si="17"/>
        <x:v>920</x:v>
      </x:c>
    </x:row>
    <x:row r="75" spans="2:16" s="876" customFormat="1">
      <x:c r="B75" s="887" t="s">
        <x:v>1433</x:v>
      </x:c>
      <x:c r="C75" s="887" t="s">
        <x:v>1434</x:v>
      </x:c>
      <x:c r="D75" s="888">
        <x:v>5</x:v>
      </x:c>
      <x:c r="E75" s="889">
        <x:v>45853</x:v>
      </x:c>
      <x:c r="F75" s="889">
        <x:f t="shared" si="13"/>
        <x:v>47679</x:v>
      </x:c>
      <x:c r="G75" s="890">
        <x:f t="shared" si="14"/>
        <x:v>20</x:v>
      </x:c>
      <x:c r="H75" s="889">
        <x:v>46022</x:v>
      </x:c>
      <x:c r="I75" s="890">
        <x:f t="shared" si="9"/>
        <x:v>2</x:v>
      </x:c>
      <x:c r="J75" s="890">
        <x:f t="shared" si="15"/>
        <x:v>18</x:v>
      </x:c>
      <x:c r="K75" s="890">
        <x:f t="shared" si="16"/>
        <x:v>4</x:v>
      </x:c>
      <x:c r="L75" s="902">
        <x:v>31000</x:v>
      </x:c>
      <x:c r="M75" s="902">
        <x:f t="shared" si="10"/>
        <x:v>1550</x:v>
      </x:c>
      <x:c r="N75" s="902">
        <x:f t="shared" si="11"/>
        <x:v>3100</x:v>
      </x:c>
      <x:c r="O75" s="903">
        <x:f t="shared" si="12"/>
        <x:v>27900</x:v>
      </x:c>
      <x:c r="P75" s="900">
        <x:f t="shared" si="17"/>
        <x:v>6200</x:v>
      </x:c>
    </x:row>
    <x:row r="76" spans="2:16" s="876" customFormat="1">
      <x:c r="B76" s="887" t="s">
        <x:v>1435</x:v>
      </x:c>
      <x:c r="C76" s="887" t="s">
        <x:v>1436</x:v>
      </x:c>
      <x:c r="D76" s="888">
        <x:v>5</x:v>
      </x:c>
      <x:c r="E76" s="889">
        <x:v>45853</x:v>
      </x:c>
      <x:c r="F76" s="889">
        <x:f t="shared" si="13"/>
        <x:v>47679</x:v>
      </x:c>
      <x:c r="G76" s="890">
        <x:f t="shared" si="14"/>
        <x:v>20</x:v>
      </x:c>
      <x:c r="H76" s="889">
        <x:v>46022</x:v>
      </x:c>
      <x:c r="I76" s="890">
        <x:f t="shared" si="9"/>
        <x:v>2</x:v>
      </x:c>
      <x:c r="J76" s="890">
        <x:f t="shared" si="15"/>
        <x:v>18</x:v>
      </x:c>
      <x:c r="K76" s="890">
        <x:f t="shared" si="16"/>
        <x:v>4</x:v>
      </x:c>
      <x:c r="L76" s="902">
        <x:v>20227.27</x:v>
      </x:c>
      <x:c r="M76" s="902">
        <x:f t="shared" si="10"/>
        <x:v>1011.3635</x:v>
      </x:c>
      <x:c r="N76" s="902">
        <x:f t="shared" si="11"/>
        <x:v>2022.7270000000001</x:v>
      </x:c>
      <x:c r="O76" s="903">
        <x:f t="shared" si="12"/>
        <x:v>18204.543000000001</x:v>
      </x:c>
      <x:c r="P76" s="900">
        <x:f t="shared" si="17"/>
        <x:v>4045.4540000000002</x:v>
      </x:c>
    </x:row>
    <x:row r="77" spans="2:16" s="876" customFormat="1">
      <x:c r="B77" s="887" t="s">
        <x:v>1437</x:v>
      </x:c>
      <x:c r="C77" s="887" t="s">
        <x:v>1438</x:v>
      </x:c>
      <x:c r="D77" s="888">
        <x:v>3</x:v>
      </x:c>
      <x:c r="E77" s="889">
        <x:v>45861</x:v>
      </x:c>
      <x:c r="F77" s="889">
        <x:f t="shared" si="13"/>
        <x:v>46957</x:v>
      </x:c>
      <x:c r="G77" s="890">
        <x:f t="shared" si="14"/>
        <x:v>12</x:v>
      </x:c>
      <x:c r="H77" s="889">
        <x:v>46022</x:v>
      </x:c>
      <x:c r="I77" s="890">
        <x:f t="shared" si="9"/>
        <x:v>2</x:v>
      </x:c>
      <x:c r="J77" s="890">
        <x:f t="shared" si="15"/>
        <x:v>10</x:v>
      </x:c>
      <x:c r="K77" s="890">
        <x:f t="shared" si="16"/>
        <x:v>4</x:v>
      </x:c>
      <x:c r="L77" s="902">
        <x:v>10772.5</x:v>
      </x:c>
      <x:c r="M77" s="902">
        <x:f t="shared" si="10"/>
        <x:v>897.70833333333337</x:v>
      </x:c>
      <x:c r="N77" s="902">
        <x:f t="shared" si="11"/>
        <x:v>1795.4166666666667</x:v>
      </x:c>
      <x:c r="O77" s="903">
        <x:f t="shared" si="12"/>
        <x:v>8977.0833333333339</x:v>
      </x:c>
      <x:c r="P77" s="900">
        <x:f t="shared" si="17"/>
        <x:v>3590.8333333333335</x:v>
      </x:c>
    </x:row>
    <x:row r="78" spans="2:16" s="876" customFormat="1">
      <x:c r="B78" s="887" t="s">
        <x:v>1439</x:v>
      </x:c>
      <x:c r="C78" s="887" t="s">
        <x:v>1440</x:v>
      </x:c>
      <x:c r="D78" s="888">
        <x:v>5</x:v>
      </x:c>
      <x:c r="E78" s="889">
        <x:v>45842</x:v>
      </x:c>
      <x:c r="F78" s="889">
        <x:f t="shared" si="13"/>
        <x:v>47668</x:v>
      </x:c>
      <x:c r="G78" s="890">
        <x:f t="shared" si="14"/>
        <x:v>20</x:v>
      </x:c>
      <x:c r="H78" s="889">
        <x:v>46022</x:v>
      </x:c>
      <x:c r="I78" s="890">
        <x:f t="shared" si="9"/>
        <x:v>2</x:v>
      </x:c>
      <x:c r="J78" s="890">
        <x:f t="shared" si="15"/>
        <x:v>18</x:v>
      </x:c>
      <x:c r="K78" s="890">
        <x:f t="shared" si="16"/>
        <x:v>4</x:v>
      </x:c>
      <x:c r="L78" s="902">
        <x:v>11331.67</x:v>
      </x:c>
      <x:c r="M78" s="902">
        <x:f t="shared" si="10"/>
        <x:v>566.58349999999996</x:v>
      </x:c>
      <x:c r="N78" s="902">
        <x:f t="shared" si="11"/>
        <x:v>1133.1669999999999</x:v>
      </x:c>
      <x:c r="O78" s="903">
        <x:f t="shared" si="12"/>
        <x:v>10198.503000000001</x:v>
      </x:c>
      <x:c r="P78" s="900">
        <x:f t="shared" si="17"/>
        <x:v>2266.3339999999998</x:v>
      </x:c>
    </x:row>
    <x:row r="79" spans="2:16" s="876" customFormat="1">
      <x:c r="B79" s="887" t="s">
        <x:v>1441</x:v>
      </x:c>
      <x:c r="C79" s="887" t="s">
        <x:v>1442</x:v>
      </x:c>
      <x:c r="D79" s="888">
        <x:v>6</x:v>
      </x:c>
      <x:c r="E79" s="889">
        <x:v>45884</x:v>
      </x:c>
      <x:c r="F79" s="889">
        <x:f t="shared" si="13"/>
        <x:v>48075</x:v>
      </x:c>
      <x:c r="G79" s="890">
        <x:f t="shared" si="14"/>
        <x:v>24</x:v>
      </x:c>
      <x:c r="H79" s="889">
        <x:v>46022</x:v>
      </x:c>
      <x:c r="I79" s="890">
        <x:f t="shared" si="9"/>
        <x:v>2</x:v>
      </x:c>
      <x:c r="J79" s="890">
        <x:f t="shared" si="15"/>
        <x:v>22</x:v>
      </x:c>
      <x:c r="K79" s="890">
        <x:f t="shared" si="16"/>
        <x:v>4</x:v>
      </x:c>
      <x:c r="L79" s="902">
        <x:v>12500</x:v>
      </x:c>
      <x:c r="M79" s="902">
        <x:f t="shared" si="10"/>
        <x:v>520.83333333333337</x:v>
      </x:c>
      <x:c r="N79" s="902">
        <x:f t="shared" si="11"/>
        <x:v>1041.6666666666667</x:v>
      </x:c>
      <x:c r="O79" s="903">
        <x:f t="shared" si="12"/>
        <x:v>11458.333333333334</x:v>
      </x:c>
      <x:c r="P79" s="900">
        <x:f t="shared" si="17"/>
        <x:v>2083.3333333333335</x:v>
      </x:c>
    </x:row>
    <x:row r="80" spans="2:16" s="876" customFormat="1">
      <x:c r="B80" s="887" t="s">
        <x:v>1443</x:v>
      </x:c>
      <x:c r="C80" s="887" t="s">
        <x:v>1444</x:v>
      </x:c>
      <x:c r="D80" s="888">
        <x:v>5</x:v>
      </x:c>
      <x:c r="E80" s="889">
        <x:v>45880</x:v>
      </x:c>
      <x:c r="F80" s="889">
        <x:f t="shared" si="13"/>
        <x:v>47706</x:v>
      </x:c>
      <x:c r="G80" s="890">
        <x:f t="shared" si="14"/>
        <x:v>20</x:v>
      </x:c>
      <x:c r="H80" s="889">
        <x:v>46022</x:v>
      </x:c>
      <x:c r="I80" s="890">
        <x:f t="shared" si="9"/>
        <x:v>2</x:v>
      </x:c>
      <x:c r="J80" s="890">
        <x:f t="shared" si="15"/>
        <x:v>18</x:v>
      </x:c>
      <x:c r="K80" s="890">
        <x:f t="shared" si="16"/>
        <x:v>4</x:v>
      </x:c>
      <x:c r="L80" s="902">
        <x:v>11800</x:v>
      </x:c>
      <x:c r="M80" s="902">
        <x:f t="shared" si="10"/>
        <x:v>590</x:v>
      </x:c>
      <x:c r="N80" s="902">
        <x:f t="shared" si="11"/>
        <x:v>1180</x:v>
      </x:c>
      <x:c r="O80" s="903">
        <x:f t="shared" si="12"/>
        <x:v>10620</x:v>
      </x:c>
      <x:c r="P80" s="900">
        <x:f t="shared" si="17"/>
        <x:v>2360</x:v>
      </x:c>
    </x:row>
    <x:row r="81" spans="2:16" s="876" customFormat="1">
      <x:c r="B81" s="887" t="s">
        <x:v>1445</x:v>
      </x:c>
      <x:c r="C81" s="887" t="s">
        <x:v>1446</x:v>
      </x:c>
      <x:c r="D81" s="888">
        <x:v>5</x:v>
      </x:c>
      <x:c r="E81" s="889">
        <x:v>45888</x:v>
      </x:c>
      <x:c r="F81" s="889">
        <x:f t="shared" si="13"/>
        <x:v>47714</x:v>
      </x:c>
      <x:c r="G81" s="890">
        <x:f t="shared" si="14"/>
        <x:v>20</x:v>
      </x:c>
      <x:c r="H81" s="889">
        <x:v>46022</x:v>
      </x:c>
      <x:c r="I81" s="890">
        <x:f t="shared" si="9"/>
        <x:v>2</x:v>
      </x:c>
      <x:c r="J81" s="890">
        <x:f t="shared" si="15"/>
        <x:v>18</x:v>
      </x:c>
      <x:c r="K81" s="890">
        <x:f t="shared" si="16"/>
        <x:v>4</x:v>
      </x:c>
      <x:c r="L81" s="902">
        <x:v>13775</x:v>
      </x:c>
      <x:c r="M81" s="902">
        <x:f t="shared" si="10"/>
        <x:v>688.75</x:v>
      </x:c>
      <x:c r="N81" s="902">
        <x:f t="shared" si="11"/>
        <x:v>1377.5</x:v>
      </x:c>
      <x:c r="O81" s="903">
        <x:f t="shared" si="12"/>
        <x:v>12397.5</x:v>
      </x:c>
      <x:c r="P81" s="900">
        <x:f t="shared" si="17"/>
        <x:v>2755</x:v>
      </x:c>
    </x:row>
    <x:row r="82" spans="2:16" s="876" customFormat="1">
      <x:c r="B82" s="887" t="s">
        <x:v>1447</x:v>
      </x:c>
      <x:c r="C82" s="887" t="s">
        <x:v>1448</x:v>
      </x:c>
      <x:c r="D82" s="888">
        <x:v>4</x:v>
      </x:c>
      <x:c r="E82" s="889">
        <x:v>45903</x:v>
      </x:c>
      <x:c r="F82" s="889">
        <x:f t="shared" si="13"/>
        <x:v>47364</x:v>
      </x:c>
      <x:c r="G82" s="890">
        <x:f t="shared" si="14"/>
        <x:v>16</x:v>
      </x:c>
      <x:c r="H82" s="889">
        <x:v>46022</x:v>
      </x:c>
      <x:c r="I82" s="890">
        <x:f t="shared" si="9"/>
        <x:v>2</x:v>
      </x:c>
      <x:c r="J82" s="890">
        <x:f t="shared" si="15"/>
        <x:v>14</x:v>
      </x:c>
      <x:c r="K82" s="890">
        <x:f t="shared" si="16"/>
        <x:v>4</x:v>
      </x:c>
      <x:c r="L82" s="902">
        <x:v>25749.17</x:v>
      </x:c>
      <x:c r="M82" s="902">
        <x:f t="shared" si="10"/>
        <x:v>1609.3231249999999</x:v>
      </x:c>
      <x:c r="N82" s="902">
        <x:f t="shared" si="11"/>
        <x:v>3218.6462499999998</x:v>
      </x:c>
      <x:c r="O82" s="903">
        <x:f t="shared" si="12"/>
        <x:v>22530.52375</x:v>
      </x:c>
      <x:c r="P82" s="900">
        <x:f t="shared" si="17"/>
        <x:v>6437.2924999999996</x:v>
      </x:c>
    </x:row>
    <x:row r="83" spans="2:16" s="876" customFormat="1">
      <x:c r="B83" s="887" t="s">
        <x:v>1449</x:v>
      </x:c>
      <x:c r="C83" s="887" t="s">
        <x:v>1450</x:v>
      </x:c>
      <x:c r="D83" s="888">
        <x:v>5</x:v>
      </x:c>
      <x:c r="E83" s="889">
        <x:v>45904</x:v>
      </x:c>
      <x:c r="F83" s="889">
        <x:f t="shared" si="13"/>
        <x:v>47730</x:v>
      </x:c>
      <x:c r="G83" s="890">
        <x:f t="shared" si="14"/>
        <x:v>20</x:v>
      </x:c>
      <x:c r="H83" s="889">
        <x:v>46022</x:v>
      </x:c>
      <x:c r="I83" s="890">
        <x:f t="shared" si="9"/>
        <x:v>2</x:v>
      </x:c>
      <x:c r="J83" s="890">
        <x:f t="shared" si="15"/>
        <x:v>18</x:v>
      </x:c>
      <x:c r="K83" s="890">
        <x:f t="shared" si="16"/>
        <x:v>4</x:v>
      </x:c>
      <x:c r="L83" s="902">
        <x:v>25427.26</x:v>
      </x:c>
      <x:c r="M83" s="902">
        <x:f t="shared" si="10"/>
        <x:v>1271.3629999999998</x:v>
      </x:c>
      <x:c r="N83" s="902">
        <x:f t="shared" si="11"/>
        <x:v>2542.7259999999997</x:v>
      </x:c>
      <x:c r="O83" s="903">
        <x:f t="shared" si="12"/>
        <x:v>22884.534</x:v>
      </x:c>
      <x:c r="P83" s="900">
        <x:f t="shared" si="17"/>
        <x:v>5085.4519999999993</x:v>
      </x:c>
    </x:row>
    <x:row r="84" spans="2:16" s="876" customFormat="1">
      <x:c r="B84" s="887" t="s">
        <x:v>1451</x:v>
      </x:c>
      <x:c r="C84" s="887" t="s">
        <x:v>1410</x:v>
      </x:c>
      <x:c r="D84" s="888">
        <x:v>5</x:v>
      </x:c>
      <x:c r="E84" s="889">
        <x:v>45838</x:v>
      </x:c>
      <x:c r="F84" s="889">
        <x:f t="shared" si="13"/>
        <x:v>47664</x:v>
      </x:c>
      <x:c r="G84" s="890">
        <x:f t="shared" si="14"/>
        <x:v>20</x:v>
      </x:c>
      <x:c r="H84" s="889">
        <x:v>46022</x:v>
      </x:c>
      <x:c r="I84" s="890">
        <x:f t="shared" si="9"/>
        <x:v>3</x:v>
      </x:c>
      <x:c r="J84" s="890">
        <x:f t="shared" si="15"/>
        <x:v>17</x:v>
      </x:c>
      <x:c r="K84" s="890">
        <x:f t="shared" si="16"/>
        <x:v>4</x:v>
      </x:c>
      <x:c r="L84" s="902">
        <x:v>15200</x:v>
      </x:c>
      <x:c r="M84" s="902">
        <x:f t="shared" si="10"/>
        <x:v>760</x:v>
      </x:c>
      <x:c r="N84" s="902">
        <x:f t="shared" si="11"/>
        <x:v>2280</x:v>
      </x:c>
      <x:c r="O84" s="903">
        <x:f t="shared" si="12"/>
        <x:v>12920</x:v>
      </x:c>
      <x:c r="P84" s="900">
        <x:f t="shared" si="17"/>
        <x:v>3040</x:v>
      </x:c>
    </x:row>
    <x:row r="85" spans="2:16" s="876" customFormat="1">
      <x:c r="B85" s="887" t="s">
        <x:v>1452</x:v>
      </x:c>
      <x:c r="C85" s="887" t="s">
        <x:v>1453</x:v>
      </x:c>
      <x:c r="D85" s="888">
        <x:v>3</x:v>
      </x:c>
      <x:c r="E85" s="889">
        <x:v>44845</x:v>
      </x:c>
      <x:c r="F85" s="889">
        <x:f t="shared" si="13"/>
        <x:v>45941</x:v>
      </x:c>
      <x:c r="G85" s="890">
        <x:f t="shared" si="14"/>
        <x:v>12</x:v>
      </x:c>
      <x:c r="H85" s="889">
        <x:v>45930</x:v>
      </x:c>
      <x:c r="I85" s="890">
        <x:f t="shared" si="9"/>
        <x:v>12</x:v>
      </x:c>
      <x:c r="J85" s="890">
        <x:f t="shared" si="15"/>
        <x:v>0</x:v>
      </x:c>
      <x:c r="K85" s="890">
        <x:f t="shared" si="16"/>
        <x:v>0</x:v>
      </x:c>
      <x:c r="L85" s="902">
        <x:v>22013.8</x:v>
      </x:c>
      <x:c r="M85" s="902">
        <x:f t="shared" si="10"/>
        <x:v>1834.4833333333333</x:v>
      </x:c>
      <x:c r="N85" s="902">
        <x:f t="shared" si="11"/>
        <x:v>22013.8</x:v>
      </x:c>
      <x:c r="O85" s="903">
        <x:f t="shared" si="12"/>
        <x:v>0</x:v>
      </x:c>
      <x:c r="P85" s="900">
        <x:f t="shared" si="17"/>
        <x:v>0</x:v>
      </x:c>
    </x:row>
    <x:row r="86" spans="2:16" s="876" customFormat="1">
      <x:c r="B86" s="887" t="s">
        <x:v>1454</x:v>
      </x:c>
      <x:c r="C86" s="887" t="s">
        <x:v>1455</x:v>
      </x:c>
      <x:c r="D86" s="888">
        <x:v>3</x:v>
      </x:c>
      <x:c r="E86" s="889">
        <x:v>44837</x:v>
      </x:c>
      <x:c r="F86" s="889">
        <x:f t="shared" si="13"/>
        <x:v>45933</x:v>
      </x:c>
      <x:c r="G86" s="890">
        <x:f t="shared" si="14"/>
        <x:v>12</x:v>
      </x:c>
      <x:c r="H86" s="889">
        <x:v>45930</x:v>
      </x:c>
      <x:c r="I86" s="890">
        <x:f t="shared" si="9"/>
        <x:v>12</x:v>
      </x:c>
      <x:c r="J86" s="890">
        <x:f t="shared" si="15"/>
        <x:v>0</x:v>
      </x:c>
      <x:c r="K86" s="890">
        <x:f t="shared" si="16"/>
        <x:v>0</x:v>
      </x:c>
      <x:c r="L86" s="902">
        <x:v>38880.639999999999</x:v>
      </x:c>
      <x:c r="M86" s="902">
        <x:f t="shared" si="10"/>
        <x:v>3240.0533333333333</x:v>
      </x:c>
      <x:c r="N86" s="902">
        <x:f t="shared" si="11"/>
        <x:v>38880.639999999999</x:v>
      </x:c>
      <x:c r="O86" s="903">
        <x:f t="shared" si="12"/>
        <x:v>0</x:v>
      </x:c>
      <x:c r="P86" s="900">
        <x:f t="shared" si="17"/>
        <x:v>0</x:v>
      </x:c>
    </x:row>
    <x:row r="87" spans="2:16" s="876" customFormat="1">
      <x:c r="B87" s="887" t="s">
        <x:v>1456</x:v>
      </x:c>
      <x:c r="C87" s="887" t="s">
        <x:v>1457</x:v>
      </x:c>
      <x:c r="D87" s="888">
        <x:v>3</x:v>
      </x:c>
      <x:c r="E87" s="889">
        <x:v>44837</x:v>
      </x:c>
      <x:c r="F87" s="889">
        <x:f t="shared" si="13"/>
        <x:v>45933</x:v>
      </x:c>
      <x:c r="G87" s="890">
        <x:f t="shared" si="14"/>
        <x:v>12</x:v>
      </x:c>
      <x:c r="H87" s="889">
        <x:v>45930</x:v>
      </x:c>
      <x:c r="I87" s="890">
        <x:f t="shared" si="9"/>
        <x:v>12</x:v>
      </x:c>
      <x:c r="J87" s="890">
        <x:f t="shared" si="15"/>
        <x:v>0</x:v>
      </x:c>
      <x:c r="K87" s="890">
        <x:f t="shared" si="16"/>
        <x:v>0</x:v>
      </x:c>
      <x:c r="L87" s="902">
        <x:v>13785.41</x:v>
      </x:c>
      <x:c r="M87" s="902">
        <x:f t="shared" si="10"/>
        <x:v>1148.7841666666666</x:v>
      </x:c>
      <x:c r="N87" s="902">
        <x:f t="shared" si="11"/>
        <x:v>13785.41</x:v>
      </x:c>
      <x:c r="O87" s="903">
        <x:f t="shared" si="12"/>
        <x:v>0</x:v>
      </x:c>
      <x:c r="P87" s="900">
        <x:f t="shared" si="17"/>
        <x:v>0</x:v>
      </x:c>
    </x:row>
    <x:row r="88" spans="2:16" s="876" customFormat="1">
      <x:c r="B88" s="887" t="s">
        <x:v>1458</x:v>
      </x:c>
      <x:c r="C88" s="887" t="s">
        <x:v>1459</x:v>
      </x:c>
      <x:c r="D88" s="888">
        <x:v>4</x:v>
      </x:c>
      <x:c r="E88" s="889">
        <x:v>44921</x:v>
      </x:c>
      <x:c r="F88" s="889">
        <x:f t="shared" si="13"/>
        <x:v>46382</x:v>
      </x:c>
      <x:c r="G88" s="890">
        <x:f t="shared" si="14"/>
        <x:v>16</x:v>
      </x:c>
      <x:c r="H88" s="889">
        <x:v>46022</x:v>
      </x:c>
      <x:c r="I88" s="890">
        <x:f t="shared" si="9"/>
        <x:v>13</x:v>
      </x:c>
      <x:c r="J88" s="890">
        <x:f t="shared" si="15"/>
        <x:v>3</x:v>
      </x:c>
      <x:c r="K88" s="890">
        <x:f t="shared" si="16"/>
        <x:v>3</x:v>
      </x:c>
      <x:c r="L88" s="902">
        <x:v>165277.94</x:v>
      </x:c>
      <x:c r="M88" s="902">
        <x:f t="shared" si="10"/>
        <x:v>10329.87125</x:v>
      </x:c>
      <x:c r="N88" s="902">
        <x:f t="shared" si="11"/>
        <x:v>134288.32625000001</x:v>
      </x:c>
      <x:c r="O88" s="903">
        <x:f t="shared" si="12"/>
        <x:v>30989.61374999999</x:v>
      </x:c>
      <x:c r="P88" s="900">
        <x:f t="shared" si="17"/>
        <x:v>30989.61375</x:v>
      </x:c>
    </x:row>
    <x:row r="89" spans="2:16" s="876" customFormat="1">
      <x:c r="B89" s="887" t="s">
        <x:v>1460</x:v>
      </x:c>
      <x:c r="C89" s="887" t="s">
        <x:v>1461</x:v>
      </x:c>
      <x:c r="D89" s="888">
        <x:v>4</x:v>
      </x:c>
      <x:c r="E89" s="889">
        <x:v>44914</x:v>
      </x:c>
      <x:c r="F89" s="889">
        <x:f t="shared" si="13"/>
        <x:v>46375</x:v>
      </x:c>
      <x:c r="G89" s="890">
        <x:f t="shared" si="14"/>
        <x:v>16</x:v>
      </x:c>
      <x:c r="H89" s="889">
        <x:v>46022</x:v>
      </x:c>
      <x:c r="I89" s="890">
        <x:f t="shared" si="9"/>
        <x:v>13</x:v>
      </x:c>
      <x:c r="J89" s="890">
        <x:f t="shared" si="15"/>
        <x:v>3</x:v>
      </x:c>
      <x:c r="K89" s="890">
        <x:f t="shared" si="16"/>
        <x:v>3</x:v>
      </x:c>
      <x:c r="L89" s="902">
        <x:v>101949.44</x:v>
      </x:c>
      <x:c r="M89" s="902">
        <x:f t="shared" si="10"/>
        <x:v>6371.84</x:v>
      </x:c>
      <x:c r="N89" s="902">
        <x:f t="shared" si="11"/>
        <x:v>82833.919999999998</x:v>
      </x:c>
      <x:c r="O89" s="903">
        <x:f t="shared" si="12"/>
        <x:v>19115.520000000004</x:v>
      </x:c>
      <x:c r="P89" s="900">
        <x:f t="shared" si="17"/>
        <x:v>19115.52</x:v>
      </x:c>
    </x:row>
    <x:row r="90" spans="2:16" s="876" customFormat="1">
      <x:c r="B90" s="887" t="s">
        <x:v>1462</x:v>
      </x:c>
      <x:c r="C90" s="887" t="s">
        <x:v>1457</x:v>
      </x:c>
      <x:c r="D90" s="888">
        <x:v>4</x:v>
      </x:c>
      <x:c r="E90" s="889">
        <x:v>44896</x:v>
      </x:c>
      <x:c r="F90" s="889">
        <x:f t="shared" si="13"/>
        <x:v>46357</x:v>
      </x:c>
      <x:c r="G90" s="890">
        <x:f t="shared" si="14"/>
        <x:v>16</x:v>
      </x:c>
      <x:c r="H90" s="889">
        <x:v>46022</x:v>
      </x:c>
      <x:c r="I90" s="890">
        <x:f t="shared" si="9"/>
        <x:v>13</x:v>
      </x:c>
      <x:c r="J90" s="890">
        <x:f t="shared" si="15"/>
        <x:v>3</x:v>
      </x:c>
      <x:c r="K90" s="890">
        <x:f t="shared" si="16"/>
        <x:v>3</x:v>
      </x:c>
      <x:c r="L90" s="902">
        <x:v>13716.83</x:v>
      </x:c>
      <x:c r="M90" s="902">
        <x:f t="shared" si="10"/>
        <x:v>857.301875</x:v>
      </x:c>
      <x:c r="N90" s="902">
        <x:f t="shared" si="11"/>
        <x:v>11144.924375000001</x:v>
      </x:c>
      <x:c r="O90" s="903">
        <x:f t="shared" si="12"/>
        <x:v>2571.9056249999994</x:v>
      </x:c>
      <x:c r="P90" s="900">
        <x:f t="shared" si="17"/>
        <x:v>2571.9056249999999</x:v>
      </x:c>
    </x:row>
    <x:row r="91" spans="2:16" s="876" customFormat="1">
      <x:c r="B91" s="887" t="s">
        <x:v>1463</x:v>
      </x:c>
      <x:c r="C91" s="887" t="s">
        <x:v>1455</x:v>
      </x:c>
      <x:c r="D91" s="888">
        <x:v>4</x:v>
      </x:c>
      <x:c r="E91" s="889">
        <x:v>44896</x:v>
      </x:c>
      <x:c r="F91" s="889">
        <x:f t="shared" si="13"/>
        <x:v>46357</x:v>
      </x:c>
      <x:c r="G91" s="890">
        <x:f t="shared" si="14"/>
        <x:v>16</x:v>
      </x:c>
      <x:c r="H91" s="889">
        <x:v>46022</x:v>
      </x:c>
      <x:c r="I91" s="890">
        <x:f t="shared" si="9"/>
        <x:v>13</x:v>
      </x:c>
      <x:c r="J91" s="890">
        <x:f t="shared" si="15"/>
        <x:v>3</x:v>
      </x:c>
      <x:c r="K91" s="890">
        <x:f t="shared" si="16"/>
        <x:v>3</x:v>
      </x:c>
      <x:c r="L91" s="902">
        <x:v>38897.65</x:v>
      </x:c>
      <x:c r="M91" s="902">
        <x:f t="shared" si="10"/>
        <x:v>2431.1031250000001</x:v>
      </x:c>
      <x:c r="N91" s="902">
        <x:f t="shared" si="11"/>
        <x:v>31604.340625000001</x:v>
      </x:c>
      <x:c r="O91" s="903">
        <x:f t="shared" si="12"/>
        <x:v>7293.3093750000007</x:v>
      </x:c>
      <x:c r="P91" s="900">
        <x:f t="shared" si="17"/>
        <x:v>7293.3093750000007</x:v>
      </x:c>
    </x:row>
    <x:row r="92" spans="2:16" s="876" customFormat="1">
      <x:c r="B92" s="887" t="s">
        <x:v>1464</x:v>
      </x:c>
      <x:c r="C92" s="887" t="s">
        <x:v>1455</x:v>
      </x:c>
      <x:c r="D92" s="888">
        <x:v>3</x:v>
      </x:c>
      <x:c r="E92" s="889">
        <x:v>44936</x:v>
      </x:c>
      <x:c r="F92" s="889">
        <x:f t="shared" si="13"/>
        <x:v>46032</x:v>
      </x:c>
      <x:c r="G92" s="890">
        <x:f t="shared" si="14"/>
        <x:v>12</x:v>
      </x:c>
      <x:c r="H92" s="889">
        <x:v>46022</x:v>
      </x:c>
      <x:c r="I92" s="890">
        <x:f t="shared" si="9"/>
        <x:v>12</x:v>
      </x:c>
      <x:c r="J92" s="890">
        <x:f t="shared" si="15"/>
        <x:v>0</x:v>
      </x:c>
      <x:c r="K92" s="890">
        <x:f t="shared" si="16"/>
        <x:v>0</x:v>
      </x:c>
      <x:c r="L92" s="902">
        <x:v>37615.53</x:v>
      </x:c>
      <x:c r="M92" s="902">
        <x:f t="shared" si="10"/>
        <x:v>3134.6275000000001</x:v>
      </x:c>
      <x:c r="N92" s="902">
        <x:f t="shared" si="11"/>
        <x:v>37615.53</x:v>
      </x:c>
      <x:c r="O92" s="903">
        <x:f t="shared" si="12"/>
        <x:v>0</x:v>
      </x:c>
      <x:c r="P92" s="900">
        <x:f t="shared" si="17"/>
        <x:v>0</x:v>
      </x:c>
    </x:row>
    <x:row r="93" spans="2:16" s="876" customFormat="1">
      <x:c r="B93" s="887" t="s">
        <x:v>1465</x:v>
      </x:c>
      <x:c r="C93" s="887" t="s">
        <x:v>1455</x:v>
      </x:c>
      <x:c r="D93" s="888">
        <x:v>3</x:v>
      </x:c>
      <x:c r="E93" s="889">
        <x:v>44986</x:v>
      </x:c>
      <x:c r="F93" s="889">
        <x:f t="shared" si="13"/>
        <x:v>46082</x:v>
      </x:c>
      <x:c r="G93" s="890">
        <x:f t="shared" si="14"/>
        <x:v>12</x:v>
      </x:c>
      <x:c r="H93" s="889">
        <x:v>46022</x:v>
      </x:c>
      <x:c r="I93" s="890">
        <x:f t="shared" si="9"/>
        <x:v>12</x:v>
      </x:c>
      <x:c r="J93" s="890">
        <x:f t="shared" si="15"/>
        <x:v>0</x:v>
      </x:c>
      <x:c r="K93" s="890">
        <x:f t="shared" si="16"/>
        <x:v>0</x:v>
      </x:c>
      <x:c r="L93" s="902">
        <x:v>37092.879999999997</x:v>
      </x:c>
      <x:c r="M93" s="902">
        <x:f t="shared" si="10"/>
        <x:v>3091.0733333333333</x:v>
      </x:c>
      <x:c r="N93" s="902">
        <x:f t="shared" si="11"/>
        <x:v>37092.879999999997</x:v>
      </x:c>
      <x:c r="O93" s="903">
        <x:f t="shared" si="12"/>
        <x:v>0</x:v>
      </x:c>
      <x:c r="P93" s="900">
        <x:f t="shared" si="17"/>
        <x:v>0</x:v>
      </x:c>
    </x:row>
    <x:row r="94" spans="2:16" s="876" customFormat="1">
      <x:c r="B94" s="887" t="s">
        <x:v>1466</x:v>
      </x:c>
      <x:c r="C94" s="887" t="s">
        <x:v>1467</x:v>
      </x:c>
      <x:c r="D94" s="888">
        <x:v>3</x:v>
      </x:c>
      <x:c r="E94" s="889">
        <x:v>45114</x:v>
      </x:c>
      <x:c r="F94" s="889">
        <x:f t="shared" si="13"/>
        <x:v>46210</x:v>
      </x:c>
      <x:c r="G94" s="890">
        <x:f t="shared" si="14"/>
        <x:v>12</x:v>
      </x:c>
      <x:c r="H94" s="889">
        <x:v>46022</x:v>
      </x:c>
      <x:c r="I94" s="890">
        <x:f t="shared" si="9"/>
        <x:v>10</x:v>
      </x:c>
      <x:c r="J94" s="890">
        <x:f t="shared" si="15"/>
        <x:v>2</x:v>
      </x:c>
      <x:c r="K94" s="890">
        <x:f t="shared" si="16"/>
        <x:v>2</x:v>
      </x:c>
      <x:c r="L94" s="902">
        <x:v>75331.61</x:v>
      </x:c>
      <x:c r="M94" s="902">
        <x:f t="shared" si="10"/>
        <x:v>6277.6341666666667</x:v>
      </x:c>
      <x:c r="N94" s="902">
        <x:f t="shared" si="11"/>
        <x:v>62776.341666666667</x:v>
      </x:c>
      <x:c r="O94" s="903">
        <x:f t="shared" si="12"/>
        <x:v>12555.268333333333</x:v>
      </x:c>
      <x:c r="P94" s="900">
        <x:f t="shared" si="17"/>
        <x:v>12555.268333333333</x:v>
      </x:c>
    </x:row>
    <x:row r="95" spans="2:16" s="876" customFormat="1">
      <x:c r="B95" s="887" t="s">
        <x:v>1468</x:v>
      </x:c>
      <x:c r="C95" s="887" t="s">
        <x:v>1469</x:v>
      </x:c>
      <x:c r="D95" s="888">
        <x:v>3</x:v>
      </x:c>
      <x:c r="E95" s="889">
        <x:v>45048</x:v>
      </x:c>
      <x:c r="F95" s="889">
        <x:f t="shared" si="13"/>
        <x:v>46144</x:v>
      </x:c>
      <x:c r="G95" s="890">
        <x:f t="shared" si="14"/>
        <x:v>12</x:v>
      </x:c>
      <x:c r="H95" s="889">
        <x:v>46022</x:v>
      </x:c>
      <x:c r="I95" s="890">
        <x:f t="shared" si="9"/>
        <x:v>11</x:v>
      </x:c>
      <x:c r="J95" s="890">
        <x:f t="shared" si="15"/>
        <x:v>1</x:v>
      </x:c>
      <x:c r="K95" s="890">
        <x:f t="shared" si="16"/>
        <x:v>1</x:v>
      </x:c>
      <x:c r="L95" s="902">
        <x:v>37644.58</x:v>
      </x:c>
      <x:c r="M95" s="902">
        <x:f t="shared" si="10"/>
        <x:v>3137.0483333333336</x:v>
      </x:c>
      <x:c r="N95" s="902">
        <x:f t="shared" si="11"/>
        <x:v>34507.531666666669</x:v>
      </x:c>
      <x:c r="O95" s="903">
        <x:f t="shared" si="12"/>
        <x:v>3137.0483333333323</x:v>
      </x:c>
      <x:c r="P95" s="900">
        <x:f t="shared" si="17"/>
        <x:v>3137.0483333333336</x:v>
      </x:c>
    </x:row>
    <x:row r="96" spans="2:16" s="876" customFormat="1">
      <x:c r="B96" s="887" t="s">
        <x:v>1470</x:v>
      </x:c>
      <x:c r="C96" s="887" t="s">
        <x:v>1471</x:v>
      </x:c>
      <x:c r="D96" s="888">
        <x:v>5</x:v>
      </x:c>
      <x:c r="E96" s="889">
        <x:v>44725</x:v>
      </x:c>
      <x:c r="F96" s="889">
        <x:f t="shared" si="13"/>
        <x:v>46551</x:v>
      </x:c>
      <x:c r="G96" s="890">
        <x:f t="shared" si="14"/>
        <x:v>20</x:v>
      </x:c>
      <x:c r="H96" s="889">
        <x:v>46022</x:v>
      </x:c>
      <x:c r="I96" s="890">
        <x:f t="shared" si="9"/>
        <x:v>15</x:v>
      </x:c>
      <x:c r="J96" s="890">
        <x:f t="shared" si="15"/>
        <x:v>5</x:v>
      </x:c>
      <x:c r="K96" s="890">
        <x:f t="shared" si="16"/>
        <x:v>4</x:v>
      </x:c>
      <x:c r="L96" s="902">
        <x:v>115831.34</x:v>
      </x:c>
      <x:c r="M96" s="902">
        <x:f t="shared" si="10"/>
        <x:v>5791.567</x:v>
      </x:c>
      <x:c r="N96" s="902">
        <x:f t="shared" si="11"/>
        <x:v>86873.505000000005</x:v>
      </x:c>
      <x:c r="O96" s="903">
        <x:f t="shared" si="12"/>
        <x:v>28957.834999999992</x:v>
      </x:c>
      <x:c r="P96" s="900">
        <x:f t="shared" si="17"/>
        <x:v>23166.268</x:v>
      </x:c>
    </x:row>
    <x:row r="97" spans="2:16" s="876" customFormat="1">
      <x:c r="B97" s="887" t="s">
        <x:v>1472</x:v>
      </x:c>
      <x:c r="C97" s="887" t="s">
        <x:v>1473</x:v>
      </x:c>
      <x:c r="D97" s="888">
        <x:v>5</x:v>
      </x:c>
      <x:c r="E97" s="889">
        <x:v>45258</x:v>
      </x:c>
      <x:c r="F97" s="889">
        <x:f t="shared" si="13"/>
        <x:v>47085</x:v>
      </x:c>
      <x:c r="G97" s="890">
        <x:f t="shared" si="14"/>
        <x:v>20</x:v>
      </x:c>
      <x:c r="H97" s="889">
        <x:v>46022</x:v>
      </x:c>
      <x:c r="I97" s="890">
        <x:f t="shared" si="9"/>
        <x:v>9</x:v>
      </x:c>
      <x:c r="J97" s="890">
        <x:f t="shared" si="15"/>
        <x:v>11</x:v>
      </x:c>
      <x:c r="K97" s="890">
        <x:f t="shared" si="16"/>
        <x:v>4</x:v>
      </x:c>
      <x:c r="L97" s="902">
        <x:v>19791.78</x:v>
      </x:c>
      <x:c r="M97" s="902">
        <x:f t="shared" si="10"/>
        <x:v>989.58899999999994</x:v>
      </x:c>
      <x:c r="N97" s="902">
        <x:f t="shared" si="11"/>
        <x:v>8906.3009999999995</x:v>
      </x:c>
      <x:c r="O97" s="903">
        <x:f t="shared" si="12"/>
        <x:v>10885.478999999999</x:v>
      </x:c>
      <x:c r="P97" s="900">
        <x:f t="shared" si="17"/>
        <x:v>3958.3559999999998</x:v>
      </x:c>
    </x:row>
    <x:row r="98" spans="2:16" s="876" customFormat="1">
      <x:c r="B98" s="891" t="s">
        <x:v>1474</x:v>
      </x:c>
      <x:c r="C98" s="891" t="s">
        <x:v>1475</x:v>
      </x:c>
      <x:c r="D98" s="892">
        <x:v>3</x:v>
      </x:c>
      <x:c r="E98" s="893">
        <x:v>44746</x:v>
      </x:c>
      <x:c r="F98" s="893">
        <x:f t="shared" si="13"/>
        <x:v>45842</x:v>
      </x:c>
      <x:c r="G98" s="894">
        <x:f t="shared" si="14"/>
        <x:v>12</x:v>
      </x:c>
      <x:c r="H98" s="893">
        <x:v>45838</x:v>
      </x:c>
      <x:c r="I98" s="894">
        <x:f t="shared" si="9"/>
        <x:v>12</x:v>
      </x:c>
      <x:c r="J98" s="894">
        <x:f t="shared" si="15"/>
        <x:v>0</x:v>
      </x:c>
      <x:c r="K98" s="894">
        <x:f t="shared" si="16"/>
        <x:v>0</x:v>
      </x:c>
      <x:c r="L98" s="904">
        <x:v>516280.56</x:v>
      </x:c>
      <x:c r="M98" s="904">
        <x:f t="shared" si="10"/>
        <x:v>43023.38</x:v>
      </x:c>
      <x:c r="N98" s="904">
        <x:f t="shared" si="11"/>
        <x:v>516280.55999999994</x:v>
      </x:c>
      <x:c r="O98" s="905">
        <x:f t="shared" si="12"/>
        <x:v>0</x:v>
      </x:c>
      <x:c r="P98" s="934">
        <x:f t="shared" si="17"/>
        <x:v>0</x:v>
      </x:c>
    </x:row>
    <x:row r="99" spans="2:16" s="876" customFormat="1">
      <x:c r="B99" s="935" t="s">
        <x:v>1476</x:v>
      </x:c>
      <x:c r="C99" s="935" t="s">
        <x:v>1477</x:v>
      </x:c>
      <x:c r="D99" s="936">
        <x:v>15</x:v>
      </x:c>
      <x:c r="E99" s="937">
        <x:v>44805</x:v>
      </x:c>
      <x:c r="F99" s="937">
        <x:f t="shared" si="13"/>
        <x:v>50284</x:v>
      </x:c>
      <x:c r="G99" s="938">
        <x:f t="shared" si="14"/>
        <x:v>60</x:v>
      </x:c>
      <x:c r="H99" s="937">
        <x:v>46022</x:v>
      </x:c>
      <x:c r="I99" s="938">
        <x:f t="shared" si="9"/>
        <x:v>14</x:v>
      </x:c>
      <x:c r="J99" s="938">
        <x:f t="shared" si="15"/>
        <x:v>46</x:v>
      </x:c>
      <x:c r="K99" s="938">
        <x:f t="shared" si="16"/>
        <x:v>4</x:v>
      </x:c>
      <x:c r="L99" s="939">
        <x:v>41136.550000000003</x:v>
      </x:c>
      <x:c r="M99" s="939">
        <x:f t="shared" si="10"/>
        <x:v>685.60916666666674</x:v>
      </x:c>
      <x:c r="N99" s="939">
        <x:f t="shared" si="11"/>
        <x:v>9598.5283333333336</x:v>
      </x:c>
      <x:c r="O99" s="941">
        <x:f t="shared" si="12"/>
        <x:v>31538.021666666667</x:v>
      </x:c>
      <x:c r="P99" s="943">
        <x:f t="shared" si="17"/>
        <x:v>2742.436666666667</x:v>
      </x:c>
    </x:row>
    <x:row r="100" spans="2:16" s="876" customFormat="1">
      <x:c r="B100" s="935" t="s">
        <x:v>1505</x:v>
      </x:c>
      <x:c r="C100" s="935" t="s">
        <x:v>1507</x:v>
      </x:c>
      <x:c r="D100" s="936">
        <x:v>5</x:v>
      </x:c>
      <x:c r="E100" s="937">
        <x:v>46023</x:v>
      </x:c>
      <x:c r="F100" s="937">
        <x:f t="shared" si="13"/>
        <x:v>47849</x:v>
      </x:c>
      <x:c r="G100" s="938">
        <x:f t="shared" si="14"/>
        <x:v>20</x:v>
      </x:c>
      <x:c r="H100" s="937"/>
      <x:c r="I100" s="938"/>
      <x:c r="J100" s="938">
        <x:f t="shared" si="15"/>
        <x:v>20</x:v>
      </x:c>
      <x:c r="K100" s="938">
        <x:f t="shared" si="16"/>
        <x:v>4</x:v>
      </x:c>
      <x:c r="L100" s="939">
        <x:f>102000</x:f>
        <x:v>102000</x:v>
      </x:c>
      <x:c r="M100" s="939">
        <x:f t="shared" si="10"/>
        <x:v>5100</x:v>
      </x:c>
      <x:c r="N100" s="939">
        <x:f t="shared" si="11"/>
        <x:v>0</x:v>
      </x:c>
      <x:c r="O100" s="941">
        <x:v>0</x:v>
      </x:c>
      <x:c r="P100" s="943">
        <x:f t="shared" si="17"/>
        <x:v>20400</x:v>
      </x:c>
    </x:row>
    <x:row r="101" spans="2:16" s="876" customFormat="1">
      <x:c r="B101" s="945" t="s">
        <x:v>1505</x:v>
      </x:c>
      <x:c r="C101" s="945" t="s">
        <x:v>1508</x:v>
      </x:c>
      <x:c r="D101" s="946">
        <x:v>6</x:v>
      </x:c>
      <x:c r="E101" s="937">
        <x:v>46023</x:v>
      </x:c>
      <x:c r="F101" s="937">
        <x:f t="shared" si="13"/>
        <x:v>48214</x:v>
      </x:c>
      <x:c r="G101" s="938">
        <x:f t="shared" si="14"/>
        <x:v>24</x:v>
      </x:c>
      <x:c r="H101" s="937"/>
      <x:c r="I101" s="947"/>
      <x:c r="J101" s="938">
        <x:f t="shared" si="15"/>
        <x:v>24</x:v>
      </x:c>
      <x:c r="K101" s="938">
        <x:f t="shared" si="16"/>
        <x:v>4</x:v>
      </x:c>
      <x:c r="L101" s="948">
        <x:v>260698</x:v>
      </x:c>
      <x:c r="M101" s="948">
        <x:f t="shared" si="10"/>
        <x:v>10862.416666666666</x:v>
      </x:c>
      <x:c r="N101" s="948">
        <x:f t="shared" si="11"/>
        <x:v>0</x:v>
      </x:c>
      <x:c r="O101" s="949">
        <x:v>0</x:v>
      </x:c>
      <x:c r="P101" s="943">
        <x:f t="shared" si="17"/>
        <x:v>43449.666666666664</x:v>
      </x:c>
    </x:row>
    <x:row r="102" spans="2:16" s="876" customFormat="1" ht="17.25" thickBot="1">
      <x:c r="B102" s="1432" t="s">
        <x:v>1478</x:v>
      </x:c>
      <x:c r="C102" s="1432"/>
      <x:c r="D102" s="1432"/>
      <x:c r="E102" s="1432"/>
      <x:c r="F102" s="1432"/>
      <x:c r="G102" s="1432"/>
      <x:c r="H102" s="1432"/>
      <x:c r="I102" s="1432"/>
      <x:c r="J102" s="1432"/>
      <x:c r="K102" s="1432"/>
      <x:c r="L102" s="1432"/>
      <x:c r="M102" s="1432"/>
      <x:c r="N102" s="1432"/>
      <x:c r="O102" s="1433"/>
      <x:c r="P102" s="944">
        <x:f>+SUM(P6:P101)</x:f>
        <x:v>1252710.6146607143</x:v>
      </x:c>
    </x:row>
    <x:row r="103" spans="2:16" s="876" customFormat="1" ht="17.25" thickTop="1">
      <x:c r="B103" s="895"/>
      <x:c r="C103" s="895"/>
      <x:c r="D103" s="19"/>
      <x:c r="E103" s="895"/>
      <x:c r="F103" s="895"/>
      <x:c r="G103" s="895"/>
      <x:c r="H103" s="895"/>
      <x:c r="I103" s="895"/>
      <x:c r="J103" s="895"/>
      <x:c r="K103" s="895"/>
      <x:c r="L103" s="895"/>
      <x:c r="M103" s="895"/>
      <x:c r="N103" s="895"/>
      <x:c r="O103" s="895"/>
      <x:c r="P103" s="895"/>
    </x:row>
    <x:row r="104" spans="2:16">
      <x:c r="B104" s="895"/>
      <x:c r="C104" s="895"/>
      <x:c r="D104" s="19"/>
      <x:c r="E104" s="895"/>
      <x:c r="F104" s="895"/>
      <x:c r="G104" s="895"/>
      <x:c r="H104" s="895"/>
      <x:c r="I104" s="895"/>
      <x:c r="J104" s="895"/>
      <x:c r="K104" s="895"/>
      <x:c r="L104" s="895"/>
      <x:c r="M104" s="895"/>
      <x:c r="N104" s="895"/>
      <x:c r="O104" s="895"/>
      <x:c r="P104" s="895"/>
    </x:row>
    <x:row r="105" spans="2:16">
      <x:c r="B105" s="895"/>
      <x:c r="C105" s="895"/>
      <x:c r="D105" s="19"/>
      <x:c r="E105" s="895"/>
      <x:c r="F105" s="895"/>
      <x:c r="G105" s="895"/>
      <x:c r="H105" s="895"/>
      <x:c r="I105" s="895"/>
      <x:c r="J105" s="895"/>
      <x:c r="K105" s="895"/>
      <x:c r="L105" s="895"/>
      <x:c r="M105" s="895"/>
      <x:c r="N105" s="895"/>
      <x:c r="O105" s="895"/>
      <x:c r="P105" s="895"/>
    </x:row>
    <x:row r="106" spans="2:16" s="876" customFormat="1" ht="30" customHeight="1">
      <x:c r="B106" s="895"/>
      <x:c r="C106" s="1434" t="s">
        <x:v>1480</x:v>
      </x:c>
      <x:c r="D106" s="879" t="s">
        <x:v>169</x:v>
      </x:c>
      <x:c r="E106" s="879" t="s">
        <x:v>1479</x:v>
      </x:c>
      <x:c r="F106" s="879" t="s">
        <x:v>171</x:v>
      </x:c>
      <x:c r="G106" s="879" t="s">
        <x:v>172</x:v>
      </x:c>
      <x:c r="H106" s="879" t="s">
        <x:v>173</x:v>
      </x:c>
      <x:c r="I106" s="879" t="s">
        <x:v>174</x:v>
      </x:c>
      <x:c r="J106" s="879" t="s">
        <x:v>175</x:v>
      </x:c>
      <x:c r="K106" s="879" t="s">
        <x:v>176</x:v>
      </x:c>
      <x:c r="L106" s="879" t="s">
        <x:v>233</x:v>
      </x:c>
      <x:c r="M106" s="879" t="s">
        <x:v>178</x:v>
      </x:c>
      <x:c r="N106" s="879" t="s">
        <x:v>179</x:v>
      </x:c>
      <x:c r="O106" s="879" t="s">
        <x:v>180</x:v>
      </x:c>
      <x:c r="P106" s="879" t="s">
        <x:v>186</x:v>
      </x:c>
    </x:row>
    <x:row r="107" spans="2:16" s="876" customFormat="1" ht="30" customHeight="1">
      <x:c r="B107" s="895"/>
      <x:c r="C107" s="1434"/>
      <x:c r="D107" s="896">
        <x:f>+$P$102/12</x:f>
        <x:v>104392.55122172619</x:v>
      </x:c>
      <x:c r="E107" s="896">
        <x:f t="shared" ref="E107:O107" si="18">+$P$102/12</x:f>
        <x:v>104392.55122172619</x:v>
      </x:c>
      <x:c r="F107" s="896">
        <x:f t="shared" si="18"/>
        <x:v>104392.55122172619</x:v>
      </x:c>
      <x:c r="G107" s="896">
        <x:f t="shared" si="18"/>
        <x:v>104392.55122172619</x:v>
      </x:c>
      <x:c r="H107" s="896">
        <x:f t="shared" si="18"/>
        <x:v>104392.55122172619</x:v>
      </x:c>
      <x:c r="I107" s="896">
        <x:f t="shared" si="18"/>
        <x:v>104392.55122172619</x:v>
      </x:c>
      <x:c r="J107" s="896">
        <x:f t="shared" si="18"/>
        <x:v>104392.55122172619</x:v>
      </x:c>
      <x:c r="K107" s="896">
        <x:f t="shared" si="18"/>
        <x:v>104392.55122172619</x:v>
      </x:c>
      <x:c r="L107" s="896">
        <x:f t="shared" si="18"/>
        <x:v>104392.55122172619</x:v>
      </x:c>
      <x:c r="M107" s="896">
        <x:f t="shared" si="18"/>
        <x:v>104392.55122172619</x:v>
      </x:c>
      <x:c r="N107" s="896">
        <x:f t="shared" si="18"/>
        <x:v>104392.55122172619</x:v>
      </x:c>
      <x:c r="O107" s="896">
        <x:f t="shared" si="18"/>
        <x:v>104392.55122172619</x:v>
      </x:c>
      <x:c r="P107" s="897">
        <x:f>+SUM(D107:O107)</x:f>
        <x:v>1252710.6146607145</x:v>
      </x:c>
    </x:row>
  </x:sheetData>
  <x:mergeCells count="2">
    <x:mergeCell ref="B102:O102"/>
    <x:mergeCell ref="C106:C107"/>
  </x:mergeCells>
  <x:phoneticPr fontId="3" type="noConversion"/>
  <x:pageMargins left="0.7" right="0.7" top="0.75" bottom="0.75" header="0.3" footer="0.3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769BE3-CCA8-4DA7-B7BE-246886066C91}" mc:Ignorable="x14ac xr xr2 xr3">
  <x:sheetPr codeName="Sheet17"/>
  <x:dimension ref="B1:Y42"/>
  <x:sheetViews>
    <x:sheetView zoomScaleNormal="100" workbookViewId="0">
      <x:selection activeCell="Q28" sqref="Q28"/>
    </x:sheetView>
  </x:sheetViews>
  <x:sheetFormatPr defaultColWidth="8.75" defaultRowHeight="21" customHeight="1"/>
  <x:cols>
    <x:col min="1" max="1" width="1.625" style="21" customWidth="1"/>
    <x:col min="2" max="2" width="6.25" style="21" customWidth="1"/>
    <x:col min="3" max="3" width="16.75" style="21" customWidth="1"/>
    <x:col min="4" max="5" width="9.875" style="21" customWidth="1"/>
    <x:col min="6" max="6" width="9.875" style="182" customWidth="1"/>
    <x:col min="7" max="7" width="9.875" style="183" customWidth="1"/>
    <x:col min="8" max="10" width="9.875" style="21" customWidth="1"/>
    <x:col min="11" max="15" width="8.75" style="21" customWidth="1"/>
    <x:col min="16" max="16" width="13.625" style="21" customWidth="1"/>
    <x:col min="17" max="17" width="8.75" style="21"/>
    <x:col min="18" max="18" width="7.25" style="30" customWidth="1"/>
    <x:col min="19" max="19" width="15.25" style="30" customWidth="1"/>
    <x:col min="20" max="20" width="13.875" style="30" bestFit="1" customWidth="1"/>
    <x:col min="21" max="21" width="11.25" style="30" bestFit="1" customWidth="1"/>
    <x:col min="22" max="22" width="49.125" style="30" customWidth="1"/>
    <x:col min="23" max="23" width="7.75" style="30" customWidth="1"/>
    <x:col min="24" max="24" width="10.75" style="30" customWidth="1"/>
    <x:col min="25" max="25" width="8.75" style="30"/>
    <x:col min="26" max="26" width="9.875" style="21" bestFit="1" customWidth="1"/>
    <x:col min="27" max="16384" width="8.75" style="21"/>
  </x:cols>
  <x:sheetData>
    <x:row r="1" spans="2:25" ht="26.25">
      <x:c r="B1" s="27" t="s">
        <x:v>584</x:v>
      </x:c>
      <x:c r="C1" s="20"/>
      <x:c r="D1" s="20"/>
      <x:c r="E1" s="20"/>
      <x:c r="F1" s="181"/>
      <x:c r="G1" s="186"/>
      <x:c r="H1" s="20"/>
    </x:row>
    <x:row r="2" spans="2:25" ht="2.4500000000000002" customHeight="1">
      <x:c r="B2" s="29"/>
      <x:c r="C2" s="29"/>
      <x:c r="D2" s="29"/>
      <x:c r="E2" s="29"/>
      <x:c r="F2" s="184"/>
      <x:c r="G2" s="185"/>
      <x:c r="H2" s="29"/>
    </x:row>
    <x:row r="3" spans="2:25" ht="6" customHeight="1">
      <x:c r="B3" s="25"/>
      <x:c r="C3" s="25"/>
      <x:c r="D3" s="25"/>
      <x:c r="E3" s="25"/>
      <x:c r="F3" s="180"/>
      <x:c r="G3" s="179"/>
      <x:c r="H3" s="25"/>
      <x:c r="I3" s="25"/>
    </x:row>
    <x:row r="4" spans="2:25" s="158" customFormat="1" ht="21" customHeight="1">
      <x:c r="B4" s="1436"/>
      <x:c r="C4" s="1436"/>
      <x:c r="D4" s="742" t="s">
        <x:v>169</x:v>
      </x:c>
      <x:c r="E4" s="742" t="s">
        <x:v>170</x:v>
      </x:c>
      <x:c r="F4" s="742" t="s">
        <x:v>171</x:v>
      </x:c>
      <x:c r="G4" s="742" t="s">
        <x:v>172</x:v>
      </x:c>
      <x:c r="H4" s="742" t="s">
        <x:v>173</x:v>
      </x:c>
      <x:c r="I4" s="742" t="s">
        <x:v>174</x:v>
      </x:c>
      <x:c r="J4" s="742" t="s">
        <x:v>175</x:v>
      </x:c>
      <x:c r="K4" s="742" t="s">
        <x:v>176</x:v>
      </x:c>
      <x:c r="L4" s="742" t="s">
        <x:v>177</x:v>
      </x:c>
      <x:c r="M4" s="742" t="s">
        <x:v>178</x:v>
      </x:c>
      <x:c r="N4" s="742" t="s">
        <x:v>179</x:v>
      </x:c>
      <x:c r="O4" s="742" t="s">
        <x:v>180</x:v>
      </x:c>
      <x:c r="P4" s="417" t="s">
        <x:v>524</x:v>
      </x:c>
      <x:c r="Q4" s="631"/>
      <x:c r="R4" s="750" t="s">
        <x:v>189</x:v>
      </x:c>
      <x:c r="S4" s="750" t="s">
        <x:v>491</x:v>
      </x:c>
      <x:c r="T4" s="750" t="s">
        <x:v>469</x:v>
      </x:c>
      <x:c r="U4" s="750" t="s">
        <x:v>770</x:v>
      </x:c>
      <x:c r="V4" s="750" t="s">
        <x:v>771</x:v>
      </x:c>
      <x:c r="W4" s="428" t="s">
        <x:v>772</x:v>
      </x:c>
      <x:c r="X4" s="750" t="s">
        <x:v>838</x:v>
      </x:c>
      <x:c r="Y4" s="718" t="s">
        <x:v>190</x:v>
      </x:c>
    </x:row>
    <x:row r="5" spans="2:25" s="158" customFormat="1" ht="21" customHeight="1">
      <x:c r="B5" s="1437" t="s">
        <x:v>839</x:v>
      </x:c>
      <x:c r="C5" s="1438"/>
      <x:c r="D5" s="386">
        <x:v>30000</x:v>
      </x:c>
      <x:c r="E5" s="386">
        <x:v>30000</x:v>
      </x:c>
      <x:c r="F5" s="386">
        <x:v>30000</x:v>
      </x:c>
      <x:c r="G5" s="386">
        <x:v>30000</x:v>
      </x:c>
      <x:c r="H5" s="386">
        <x:v>30000</x:v>
      </x:c>
      <x:c r="I5" s="386">
        <x:v>30000</x:v>
      </x:c>
      <x:c r="J5" s="386">
        <x:v>30000</x:v>
      </x:c>
      <x:c r="K5" s="386">
        <x:v>30000</x:v>
      </x:c>
      <x:c r="L5" s="386">
        <x:v>30000</x:v>
      </x:c>
      <x:c r="M5" s="386">
        <x:v>30000</x:v>
      </x:c>
      <x:c r="N5" s="386">
        <x:v>30000</x:v>
      </x:c>
      <x:c r="O5" s="386">
        <x:v>30000</x:v>
      </x:c>
      <x:c r="P5" s="386">
        <x:f>SUM(D5:O5)</x:f>
        <x:v>360000</x:v>
      </x:c>
      <x:c r="Q5" s="631"/>
      <x:c r="R5" s="577">
        <x:v>1</x:v>
      </x:c>
      <x:c r="S5" s="1435" t="s">
        <x:v>773</x:v>
      </x:c>
      <x:c r="T5" s="1435" t="s">
        <x:v>242</x:v>
      </x:c>
      <x:c r="U5" s="1435" t="s">
        <x:v>624</x:v>
      </x:c>
      <x:c r="V5" s="523" t="s">
        <x:v>774</x:v>
      </x:c>
      <x:c r="W5" s="503" t="s">
        <x:v>191</x:v>
      </x:c>
      <x:c r="X5" s="523" t="s">
        <x:v>775</x:v>
      </x:c>
      <x:c r="Y5" s="503" t="s">
        <x:v>191</x:v>
      </x:c>
    </x:row>
    <x:row r="6" spans="2:25" s="158" customFormat="1" ht="13.15" customHeight="1">
      <x:c r="B6" s="25"/>
      <x:c r="C6" s="25"/>
      <x:c r="D6" s="25"/>
      <x:c r="E6" s="25"/>
      <x:c r="F6" s="25"/>
      <x:c r="G6" s="179"/>
      <x:c r="H6" s="25"/>
      <x:c r="I6" s="25"/>
      <x:c r="J6" s="769"/>
      <x:c r="K6" s="769"/>
      <x:c r="L6" s="769"/>
      <x:c r="M6" s="769"/>
      <x:c r="N6" s="769"/>
      <x:c r="O6" s="769"/>
      <x:c r="P6" s="769"/>
      <x:c r="Q6" s="631"/>
      <x:c r="R6" s="577">
        <x:v>2</x:v>
      </x:c>
      <x:c r="S6" s="1435"/>
      <x:c r="T6" s="1435"/>
      <x:c r="U6" s="1435"/>
      <x:c r="V6" s="523" t="s">
        <x:v>776</x:v>
      </x:c>
      <x:c r="W6" s="503" t="s">
        <x:v>191</x:v>
      </x:c>
      <x:c r="X6" s="523" t="s">
        <x:v>777</x:v>
      </x:c>
      <x:c r="Y6" s="503" t="s">
        <x:v>191</x:v>
      </x:c>
    </x:row>
    <x:row r="7" spans="2:25" ht="13.15" customHeight="1">
      <x:c r="B7" s="25"/>
      <x:c r="C7" s="25"/>
      <x:c r="D7" s="25"/>
      <x:c r="E7" s="25"/>
      <x:c r="F7" s="25"/>
      <x:c r="G7" s="179"/>
      <x:c r="H7" s="25"/>
      <x:c r="I7" s="25"/>
      <x:c r="J7" s="769"/>
      <x:c r="K7" s="769"/>
      <x:c r="L7" s="769"/>
      <x:c r="M7" s="769"/>
      <x:c r="N7" s="769"/>
      <x:c r="O7" s="769"/>
      <x:c r="P7" s="769"/>
      <x:c r="Q7" s="769"/>
      <x:c r="R7" s="577">
        <x:v>3</x:v>
      </x:c>
      <x:c r="S7" s="1435" t="s">
        <x:v>778</x:v>
      </x:c>
      <x:c r="T7" s="1435" t="s">
        <x:v>779</x:v>
      </x:c>
      <x:c r="U7" s="1435" t="s">
        <x:v>624</x:v>
      </x:c>
      <x:c r="V7" s="523" t="s">
        <x:v>780</x:v>
      </x:c>
      <x:c r="W7" s="503" t="s">
        <x:v>191</x:v>
      </x:c>
      <x:c r="X7" s="523" t="s">
        <x:v>781</x:v>
      </x:c>
      <x:c r="Y7" s="503" t="s">
        <x:v>191</x:v>
      </x:c>
    </x:row>
    <x:row r="8" spans="2:25" ht="13.15" customHeight="1">
      <x:c r="B8" s="391"/>
      <x:c r="C8" s="430"/>
      <x:c r="D8" s="430"/>
      <x:c r="E8" s="430"/>
      <x:c r="F8" s="796"/>
      <x:c r="G8" s="605"/>
      <x:c r="H8" s="706"/>
      <x:c r="I8" s="643"/>
      <x:c r="J8" s="769"/>
      <x:c r="K8" s="769"/>
      <x:c r="L8" s="769"/>
      <x:c r="M8" s="769"/>
      <x:c r="N8" s="769"/>
      <x:c r="O8" s="769"/>
      <x:c r="P8" s="769"/>
      <x:c r="Q8" s="769"/>
      <x:c r="R8" s="577">
        <x:v>4</x:v>
      </x:c>
      <x:c r="S8" s="1435"/>
      <x:c r="T8" s="1435"/>
      <x:c r="U8" s="1435"/>
      <x:c r="V8" s="523" t="s">
        <x:v>776</x:v>
      </x:c>
      <x:c r="W8" s="503" t="s">
        <x:v>191</x:v>
      </x:c>
      <x:c r="X8" s="523" t="s">
        <x:v>777</x:v>
      </x:c>
      <x:c r="Y8" s="503" t="s">
        <x:v>191</x:v>
      </x:c>
    </x:row>
    <x:row r="9" spans="2:25" ht="13.15" customHeight="1">
      <x:c r="B9" s="769"/>
      <x:c r="C9" s="769"/>
      <x:c r="D9" s="769"/>
      <x:c r="E9" s="769"/>
      <x:c r="F9" s="769"/>
      <x:c r="G9" s="769"/>
      <x:c r="H9" s="769"/>
      <x:c r="I9" s="769"/>
      <x:c r="J9" s="769"/>
      <x:c r="K9" s="769"/>
      <x:c r="L9" s="769"/>
      <x:c r="M9" s="769"/>
      <x:c r="N9" s="769"/>
      <x:c r="O9" s="769"/>
      <x:c r="P9" s="769"/>
      <x:c r="Q9" s="769"/>
      <x:c r="R9" s="577">
        <x:v>5</x:v>
      </x:c>
      <x:c r="S9" s="1435" t="s">
        <x:v>782</x:v>
      </x:c>
      <x:c r="T9" s="1435" t="s">
        <x:v>242</x:v>
      </x:c>
      <x:c r="U9" s="1435" t="s">
        <x:v>783</x:v>
      </x:c>
      <x:c r="V9" s="523" t="s">
        <x:v>784</x:v>
      </x:c>
      <x:c r="W9" s="503" t="s">
        <x:v>191</x:v>
      </x:c>
      <x:c r="X9" s="523" t="s">
        <x:v>785</x:v>
      </x:c>
      <x:c r="Y9" s="503" t="s">
        <x:v>191</x:v>
      </x:c>
    </x:row>
    <x:row r="10" spans="2:25" ht="13.15" customHeight="1">
      <x:c r="B10" s="769"/>
      <x:c r="C10" s="769"/>
      <x:c r="D10" s="769"/>
      <x:c r="E10" s="769"/>
      <x:c r="F10" s="769"/>
      <x:c r="G10" s="769"/>
      <x:c r="H10" s="769"/>
      <x:c r="I10" s="769"/>
      <x:c r="J10" s="769"/>
      <x:c r="K10" s="769"/>
      <x:c r="L10" s="769"/>
      <x:c r="M10" s="769"/>
      <x:c r="N10" s="769"/>
      <x:c r="O10" s="769"/>
      <x:c r="P10" s="769"/>
      <x:c r="Q10" s="769"/>
      <x:c r="R10" s="577">
        <x:v>6</x:v>
      </x:c>
      <x:c r="S10" s="1435"/>
      <x:c r="T10" s="1435"/>
      <x:c r="U10" s="1435"/>
      <x:c r="V10" s="523" t="s">
        <x:v>786</x:v>
      </x:c>
      <x:c r="W10" s="503" t="s">
        <x:v>191</x:v>
      </x:c>
      <x:c r="X10" s="523" t="s">
        <x:v>787</x:v>
      </x:c>
      <x:c r="Y10" s="503" t="s">
        <x:v>191</x:v>
      </x:c>
    </x:row>
    <x:row r="11" spans="2:25" ht="13.15" customHeight="1">
      <x:c r="B11" s="769"/>
      <x:c r="C11" s="769"/>
      <x:c r="D11" s="769"/>
      <x:c r="E11" s="769"/>
      <x:c r="F11" s="769"/>
      <x:c r="G11" s="769"/>
      <x:c r="H11" s="769"/>
      <x:c r="I11" s="769"/>
      <x:c r="J11" s="769"/>
      <x:c r="K11" s="769"/>
      <x:c r="L11" s="769"/>
      <x:c r="M11" s="769"/>
      <x:c r="N11" s="769"/>
      <x:c r="O11" s="769"/>
      <x:c r="P11" s="769"/>
      <x:c r="Q11" s="769"/>
      <x:c r="R11" s="577">
        <x:v>7</x:v>
      </x:c>
      <x:c r="S11" s="1435" t="s">
        <x:v>788</x:v>
      </x:c>
      <x:c r="T11" s="1435" t="s">
        <x:v>779</x:v>
      </x:c>
      <x:c r="U11" s="1435" t="s">
        <x:v>783</x:v>
      </x:c>
      <x:c r="V11" s="523" t="s">
        <x:v>789</x:v>
      </x:c>
      <x:c r="W11" s="503" t="s">
        <x:v>191</x:v>
      </x:c>
      <x:c r="X11" s="523" t="s">
        <x:v>790</x:v>
      </x:c>
      <x:c r="Y11" s="503" t="s">
        <x:v>191</x:v>
      </x:c>
    </x:row>
    <x:row r="12" spans="2:25" ht="13.15" customHeight="1">
      <x:c r="B12" s="769"/>
      <x:c r="C12" s="769"/>
      <x:c r="D12" s="769"/>
      <x:c r="E12" s="769"/>
      <x:c r="F12" s="769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769"/>
      <x:c r="Q12" s="769"/>
      <x:c r="R12" s="577">
        <x:v>8</x:v>
      </x:c>
      <x:c r="S12" s="1435"/>
      <x:c r="T12" s="1435"/>
      <x:c r="U12" s="1435"/>
      <x:c r="V12" s="523" t="s">
        <x:v>791</x:v>
      </x:c>
      <x:c r="W12" s="503" t="s">
        <x:v>191</x:v>
      </x:c>
      <x:c r="X12" s="523" t="s">
        <x:v>785</x:v>
      </x:c>
      <x:c r="Y12" s="503" t="s">
        <x:v>191</x:v>
      </x:c>
    </x:row>
    <x:row r="13" spans="2:25" ht="13.15" customHeight="1">
      <x:c r="B13" s="769"/>
      <x:c r="C13" s="769"/>
      <x:c r="D13" s="769"/>
      <x:c r="E13" s="769"/>
      <x:c r="F13" s="769"/>
      <x:c r="G13" s="769"/>
      <x:c r="H13" s="769"/>
      <x:c r="I13" s="769"/>
      <x:c r="J13" s="769"/>
      <x:c r="K13" s="769"/>
      <x:c r="L13" s="769"/>
      <x:c r="M13" s="769"/>
      <x:c r="N13" s="769"/>
      <x:c r="O13" s="769"/>
      <x:c r="P13" s="769"/>
      <x:c r="Q13" s="769"/>
      <x:c r="R13" s="577">
        <x:v>9</x:v>
      </x:c>
      <x:c r="S13" s="1435" t="s">
        <x:v>792</x:v>
      </x:c>
      <x:c r="T13" s="1435" t="s">
        <x:v>793</x:v>
      </x:c>
      <x:c r="U13" s="1435" t="s">
        <x:v>783</x:v>
      </x:c>
      <x:c r="V13" s="523" t="s">
        <x:v>794</x:v>
      </x:c>
      <x:c r="W13" s="503" t="s">
        <x:v>191</x:v>
      </x:c>
      <x:c r="X13" s="523" t="s">
        <x:v>795</x:v>
      </x:c>
      <x:c r="Y13" s="503" t="s">
        <x:v>191</x:v>
      </x:c>
    </x:row>
    <x:row r="14" spans="2:25" ht="13.15" customHeight="1">
      <x:c r="B14" s="769"/>
      <x:c r="C14" s="769"/>
      <x:c r="D14" s="769"/>
      <x:c r="E14" s="769"/>
      <x:c r="F14" s="769"/>
      <x:c r="G14" s="769"/>
      <x:c r="H14" s="769"/>
      <x:c r="I14" s="510"/>
      <x:c r="J14" s="769"/>
      <x:c r="K14" s="769"/>
      <x:c r="L14" s="769"/>
      <x:c r="M14" s="769"/>
      <x:c r="N14" s="769"/>
      <x:c r="O14" s="769"/>
      <x:c r="P14" s="769"/>
      <x:c r="Q14" s="769"/>
      <x:c r="R14" s="577">
        <x:v>10</x:v>
      </x:c>
      <x:c r="S14" s="1435"/>
      <x:c r="T14" s="1435"/>
      <x:c r="U14" s="1435"/>
      <x:c r="V14" s="523" t="s">
        <x:v>796</x:v>
      </x:c>
      <x:c r="W14" s="503" t="s">
        <x:v>191</x:v>
      </x:c>
      <x:c r="X14" s="523" t="s">
        <x:v>790</x:v>
      </x:c>
      <x:c r="Y14" s="503" t="s">
        <x:v>191</x:v>
      </x:c>
    </x:row>
    <x:row r="15" spans="2:25" ht="13.15" customHeight="1">
      <x:c r="B15" s="769"/>
      <x:c r="C15" s="769"/>
      <x:c r="D15" s="769"/>
      <x:c r="E15" s="769"/>
      <x:c r="F15" s="769"/>
      <x:c r="G15" s="769"/>
      <x:c r="H15" s="769"/>
      <x:c r="I15" s="769"/>
      <x:c r="J15" s="769"/>
      <x:c r="K15" s="769"/>
      <x:c r="L15" s="769"/>
      <x:c r="M15" s="769"/>
      <x:c r="N15" s="769"/>
      <x:c r="O15" s="769"/>
      <x:c r="P15" s="769"/>
      <x:c r="Q15" s="769"/>
      <x:c r="R15" s="577">
        <x:v>11</x:v>
      </x:c>
      <x:c r="S15" s="1435" t="s">
        <x:v>797</x:v>
      </x:c>
      <x:c r="T15" s="1435" t="s">
        <x:v>793</x:v>
      </x:c>
      <x:c r="U15" s="1435" t="s">
        <x:v>783</x:v>
      </x:c>
      <x:c r="V15" s="523" t="s">
        <x:v>794</x:v>
      </x:c>
      <x:c r="W15" s="503" t="s">
        <x:v>191</x:v>
      </x:c>
      <x:c r="X15" s="523" t="s">
        <x:v>795</x:v>
      </x:c>
      <x:c r="Y15" s="503" t="s">
        <x:v>191</x:v>
      </x:c>
    </x:row>
    <x:row r="16" spans="2:25" ht="13.15" customHeight="1">
      <x:c r="B16" s="769"/>
      <x:c r="C16" s="769"/>
      <x:c r="D16" s="769"/>
      <x:c r="E16" s="769"/>
      <x:c r="F16" s="769"/>
      <x:c r="G16" s="769"/>
      <x:c r="H16" s="769"/>
      <x:c r="I16" s="769"/>
      <x:c r="J16" s="769"/>
      <x:c r="K16" s="769"/>
      <x:c r="L16" s="769"/>
      <x:c r="M16" s="769"/>
      <x:c r="N16" s="769"/>
      <x:c r="O16" s="769"/>
      <x:c r="P16" s="769"/>
      <x:c r="Q16" s="769"/>
      <x:c r="R16" s="577">
        <x:v>12</x:v>
      </x:c>
      <x:c r="S16" s="1435"/>
      <x:c r="T16" s="1435"/>
      <x:c r="U16" s="1435"/>
      <x:c r="V16" s="523" t="s">
        <x:v>796</x:v>
      </x:c>
      <x:c r="W16" s="503" t="s">
        <x:v>191</x:v>
      </x:c>
      <x:c r="X16" s="523" t="s">
        <x:v>790</x:v>
      </x:c>
      <x:c r="Y16" s="503" t="s">
        <x:v>191</x:v>
      </x:c>
    </x:row>
    <x:row r="17" spans="18:25" ht="13.15" customHeight="1">
      <x:c r="R17" s="577">
        <x:v>13</x:v>
      </x:c>
      <x:c r="S17" s="1435" t="s">
        <x:v>798</x:v>
      </x:c>
      <x:c r="T17" s="1435" t="s">
        <x:v>793</x:v>
      </x:c>
      <x:c r="U17" s="1435" t="s">
        <x:v>783</x:v>
      </x:c>
      <x:c r="V17" s="523" t="s">
        <x:v>799</x:v>
      </x:c>
      <x:c r="W17" s="503" t="s">
        <x:v>191</x:v>
      </x:c>
      <x:c r="X17" s="523" t="s">
        <x:v>800</x:v>
      </x:c>
      <x:c r="Y17" s="503" t="s">
        <x:v>191</x:v>
      </x:c>
    </x:row>
    <x:row r="18" spans="18:25" ht="13.15" customHeight="1">
      <x:c r="R18" s="577">
        <x:v>14</x:v>
      </x:c>
      <x:c r="S18" s="1435"/>
      <x:c r="T18" s="1435"/>
      <x:c r="U18" s="1435"/>
      <x:c r="V18" s="523" t="s">
        <x:v>794</x:v>
      </x:c>
      <x:c r="W18" s="503" t="s">
        <x:v>191</x:v>
      </x:c>
      <x:c r="X18" s="523" t="s">
        <x:v>795</x:v>
      </x:c>
      <x:c r="Y18" s="503" t="s">
        <x:v>191</x:v>
      </x:c>
    </x:row>
    <x:row r="19" spans="18:25" ht="13.15" customHeight="1">
      <x:c r="R19" s="577">
        <x:v>15</x:v>
      </x:c>
      <x:c r="S19" s="1435" t="s">
        <x:v>801</x:v>
      </x:c>
      <x:c r="T19" s="1435" t="s">
        <x:v>802</x:v>
      </x:c>
      <x:c r="U19" s="1435" t="s">
        <x:v>803</x:v>
      </x:c>
      <x:c r="V19" s="523" t="s">
        <x:v>804</x:v>
      </x:c>
      <x:c r="W19" s="503" t="s">
        <x:v>191</x:v>
      </x:c>
      <x:c r="X19" s="523" t="s">
        <x:v>805</x:v>
      </x:c>
      <x:c r="Y19" s="503" t="s">
        <x:v>191</x:v>
      </x:c>
    </x:row>
    <x:row r="20" spans="18:25" ht="13.15" customHeight="1">
      <x:c r="R20" s="577">
        <x:v>16</x:v>
      </x:c>
      <x:c r="S20" s="1435"/>
      <x:c r="T20" s="1435"/>
      <x:c r="U20" s="1435"/>
      <x:c r="V20" s="523" t="s">
        <x:v>806</x:v>
      </x:c>
      <x:c r="W20" s="503" t="s">
        <x:v>191</x:v>
      </x:c>
      <x:c r="X20" s="523" t="s">
        <x:v>807</x:v>
      </x:c>
      <x:c r="Y20" s="503" t="s">
        <x:v>191</x:v>
      </x:c>
    </x:row>
    <x:row r="21" spans="18:25" ht="13.15" customHeight="1">
      <x:c r="R21" s="577">
        <x:v>17</x:v>
      </x:c>
      <x:c r="S21" s="1435" t="s">
        <x:v>808</x:v>
      </x:c>
      <x:c r="T21" s="1435" t="s">
        <x:v>802</x:v>
      </x:c>
      <x:c r="U21" s="1435" t="s">
        <x:v>803</x:v>
      </x:c>
      <x:c r="V21" s="523" t="s">
        <x:v>804</x:v>
      </x:c>
      <x:c r="W21" s="503" t="s">
        <x:v>191</x:v>
      </x:c>
      <x:c r="X21" s="523" t="s">
        <x:v>805</x:v>
      </x:c>
      <x:c r="Y21" s="503" t="s">
        <x:v>191</x:v>
      </x:c>
    </x:row>
    <x:row r="22" spans="18:25" ht="13.15" customHeight="1">
      <x:c r="R22" s="577">
        <x:v>18</x:v>
      </x:c>
      <x:c r="S22" s="1435"/>
      <x:c r="T22" s="1435"/>
      <x:c r="U22" s="1435"/>
      <x:c r="V22" s="523" t="s">
        <x:v>837</x:v>
      </x:c>
      <x:c r="W22" s="503" t="s">
        <x:v>191</x:v>
      </x:c>
      <x:c r="X22" s="523" t="s">
        <x:v>807</x:v>
      </x:c>
      <x:c r="Y22" s="503" t="s">
        <x:v>191</x:v>
      </x:c>
    </x:row>
    <x:row r="23" spans="18:25" ht="13.15" customHeight="1">
      <x:c r="R23" s="577">
        <x:v>19</x:v>
      </x:c>
      <x:c r="S23" s="1435" t="s">
        <x:v>809</x:v>
      </x:c>
      <x:c r="T23" s="1435" t="s">
        <x:v>247</x:v>
      </x:c>
      <x:c r="U23" s="1435" t="s">
        <x:v>456</x:v>
      </x:c>
      <x:c r="V23" s="523" t="s">
        <x:v>810</x:v>
      </x:c>
      <x:c r="W23" s="503" t="s">
        <x:v>191</x:v>
      </x:c>
      <x:c r="X23" s="523" t="s">
        <x:v>777</x:v>
      </x:c>
      <x:c r="Y23" s="503" t="s">
        <x:v>191</x:v>
      </x:c>
    </x:row>
    <x:row r="24" spans="18:25" ht="13.15" customHeight="1">
      <x:c r="R24" s="577">
        <x:v>20</x:v>
      </x:c>
      <x:c r="S24" s="1435"/>
      <x:c r="T24" s="1435"/>
      <x:c r="U24" s="1435"/>
      <x:c r="V24" s="523" t="s">
        <x:v>811</x:v>
      </x:c>
      <x:c r="W24" s="503" t="s">
        <x:v>191</x:v>
      </x:c>
      <x:c r="X24" s="523" t="s">
        <x:v>787</x:v>
      </x:c>
      <x:c r="Y24" s="503" t="s">
        <x:v>191</x:v>
      </x:c>
    </x:row>
    <x:row r="25" spans="18:25" ht="13.15" customHeight="1">
      <x:c r="R25" s="577">
        <x:v>21</x:v>
      </x:c>
      <x:c r="S25" s="1435" t="s">
        <x:v>812</x:v>
      </x:c>
      <x:c r="T25" s="1435" t="s">
        <x:v>802</x:v>
      </x:c>
      <x:c r="U25" s="1435" t="s">
        <x:v>456</x:v>
      </x:c>
      <x:c r="V25" s="523" t="s">
        <x:v>813</x:v>
      </x:c>
      <x:c r="W25" s="503" t="s">
        <x:v>191</x:v>
      </x:c>
      <x:c r="X25" s="523" t="s">
        <x:v>187</x:v>
      </x:c>
      <x:c r="Y25" s="503" t="s">
        <x:v>191</x:v>
      </x:c>
    </x:row>
    <x:row r="26" spans="18:25" ht="13.15" customHeight="1">
      <x:c r="R26" s="577">
        <x:v>22</x:v>
      </x:c>
      <x:c r="S26" s="1435"/>
      <x:c r="T26" s="1435"/>
      <x:c r="U26" s="1435"/>
      <x:c r="V26" s="523" t="s">
        <x:v>811</x:v>
      </x:c>
      <x:c r="W26" s="503" t="s">
        <x:v>191</x:v>
      </x:c>
      <x:c r="X26" s="523" t="s">
        <x:v>787</x:v>
      </x:c>
      <x:c r="Y26" s="503" t="s">
        <x:v>191</x:v>
      </x:c>
    </x:row>
    <x:row r="27" spans="18:25" ht="13.15" customHeight="1">
      <x:c r="R27" s="577">
        <x:v>23</x:v>
      </x:c>
      <x:c r="S27" s="1435" t="s">
        <x:v>814</x:v>
      </x:c>
      <x:c r="T27" s="1435" t="s">
        <x:v>815</x:v>
      </x:c>
      <x:c r="U27" s="1435" t="s">
        <x:v>456</x:v>
      </x:c>
      <x:c r="V27" s="523" t="s">
        <x:v>811</x:v>
      </x:c>
      <x:c r="W27" s="503" t="s">
        <x:v>191</x:v>
      </x:c>
      <x:c r="X27" s="523" t="s">
        <x:v>787</x:v>
      </x:c>
      <x:c r="Y27" s="503" t="s">
        <x:v>191</x:v>
      </x:c>
    </x:row>
    <x:row r="28" spans="18:25" ht="13.15" customHeight="1">
      <x:c r="R28" s="577">
        <x:v>24</x:v>
      </x:c>
      <x:c r="S28" s="1435"/>
      <x:c r="T28" s="1435"/>
      <x:c r="U28" s="1435"/>
      <x:c r="V28" s="523" t="s">
        <x:v>816</x:v>
      </x:c>
      <x:c r="W28" s="503" t="s">
        <x:v>191</x:v>
      </x:c>
      <x:c r="X28" s="523" t="s">
        <x:v>817</x:v>
      </x:c>
      <x:c r="Y28" s="503" t="s">
        <x:v>191</x:v>
      </x:c>
    </x:row>
    <x:row r="29" spans="18:25" ht="13.15" customHeight="1">
      <x:c r="R29" s="577">
        <x:v>25</x:v>
      </x:c>
      <x:c r="S29" s="1435" t="s">
        <x:v>818</x:v>
      </x:c>
      <x:c r="T29" s="1435" t="s">
        <x:v>819</x:v>
      </x:c>
      <x:c r="U29" s="1435" t="s">
        <x:v>456</x:v>
      </x:c>
      <x:c r="V29" s="523" t="s">
        <x:v>811</x:v>
      </x:c>
      <x:c r="W29" s="503" t="s">
        <x:v>191</x:v>
      </x:c>
      <x:c r="X29" s="523" t="s">
        <x:v>787</x:v>
      </x:c>
      <x:c r="Y29" s="503" t="s">
        <x:v>191</x:v>
      </x:c>
    </x:row>
    <x:row r="30" spans="18:25" ht="13.15" customHeight="1">
      <x:c r="R30" s="577">
        <x:v>26</x:v>
      </x:c>
      <x:c r="S30" s="1435"/>
      <x:c r="T30" s="1435"/>
      <x:c r="U30" s="1435"/>
      <x:c r="V30" s="523" t="s">
        <x:v>816</x:v>
      </x:c>
      <x:c r="W30" s="503" t="s">
        <x:v>191</x:v>
      </x:c>
      <x:c r="X30" s="523" t="s">
        <x:v>817</x:v>
      </x:c>
      <x:c r="Y30" s="503" t="s">
        <x:v>191</x:v>
      </x:c>
    </x:row>
    <x:row r="31" spans="18:25" ht="13.15" customHeight="1">
      <x:c r="R31" s="577">
        <x:v>27</x:v>
      </x:c>
      <x:c r="S31" s="1435" t="s">
        <x:v>820</x:v>
      </x:c>
      <x:c r="T31" s="1435" t="s">
        <x:v>247</x:v>
      </x:c>
      <x:c r="U31" s="1435" t="s">
        <x:v>821</x:v>
      </x:c>
      <x:c r="V31" s="523" t="s">
        <x:v>822</x:v>
      </x:c>
      <x:c r="W31" s="503" t="s">
        <x:v>191</x:v>
      </x:c>
      <x:c r="X31" s="523" t="s">
        <x:v>781</x:v>
      </x:c>
      <x:c r="Y31" s="503" t="s">
        <x:v>191</x:v>
      </x:c>
    </x:row>
    <x:row r="32" spans="18:25" ht="13.15" customHeight="1">
      <x:c r="R32" s="577">
        <x:v>28</x:v>
      </x:c>
      <x:c r="S32" s="1435"/>
      <x:c r="T32" s="1435"/>
      <x:c r="U32" s="1435"/>
      <x:c r="V32" s="523" t="s">
        <x:v>823</x:v>
      </x:c>
      <x:c r="W32" s="503" t="s">
        <x:v>191</x:v>
      </x:c>
      <x:c r="X32" s="523" t="s">
        <x:v>187</x:v>
      </x:c>
      <x:c r="Y32" s="503" t="s">
        <x:v>191</x:v>
      </x:c>
    </x:row>
    <x:row r="33" spans="18:25" ht="13.15" customHeight="1">
      <x:c r="R33" s="577">
        <x:v>29</x:v>
      </x:c>
      <x:c r="S33" s="1435" t="s">
        <x:v>824</x:v>
      </x:c>
      <x:c r="T33" s="1435" t="s">
        <x:v>802</x:v>
      </x:c>
      <x:c r="U33" s="1435" t="s">
        <x:v>821</x:v>
      </x:c>
      <x:c r="V33" s="523" t="s">
        <x:v>825</x:v>
      </x:c>
      <x:c r="W33" s="503" t="s">
        <x:v>191</x:v>
      </x:c>
      <x:c r="X33" s="523" t="s">
        <x:v>781</x:v>
      </x:c>
      <x:c r="Y33" s="503" t="s">
        <x:v>191</x:v>
      </x:c>
    </x:row>
    <x:row r="34" spans="18:25" ht="13.15" customHeight="1">
      <x:c r="R34" s="577">
        <x:v>30</x:v>
      </x:c>
      <x:c r="S34" s="1435"/>
      <x:c r="T34" s="1435"/>
      <x:c r="U34" s="1435"/>
      <x:c r="V34" s="523" t="s">
        <x:v>826</x:v>
      </x:c>
      <x:c r="W34" s="503" t="s">
        <x:v>191</x:v>
      </x:c>
      <x:c r="X34" s="523" t="s">
        <x:v>800</x:v>
      </x:c>
      <x:c r="Y34" s="503" t="s">
        <x:v>191</x:v>
      </x:c>
    </x:row>
    <x:row r="35" spans="18:25" ht="13.15" customHeight="1">
      <x:c r="R35" s="577">
        <x:v>31</x:v>
      </x:c>
      <x:c r="S35" s="1435" t="s">
        <x:v>827</x:v>
      </x:c>
      <x:c r="T35" s="1435" t="s">
        <x:v>819</x:v>
      </x:c>
      <x:c r="U35" s="1435" t="s">
        <x:v>828</x:v>
      </x:c>
      <x:c r="V35" s="523" t="s">
        <x:v>829</x:v>
      </x:c>
      <x:c r="W35" s="503" t="s">
        <x:v>191</x:v>
      </x:c>
      <x:c r="X35" s="523" t="s">
        <x:v>785</x:v>
      </x:c>
      <x:c r="Y35" s="503" t="s">
        <x:v>191</x:v>
      </x:c>
    </x:row>
    <x:row r="36" spans="18:25" ht="13.15" customHeight="1">
      <x:c r="R36" s="577">
        <x:v>32</x:v>
      </x:c>
      <x:c r="S36" s="1435"/>
      <x:c r="T36" s="1435"/>
      <x:c r="U36" s="1435"/>
      <x:c r="V36" s="523" t="s">
        <x:v>830</x:v>
      </x:c>
      <x:c r="W36" s="503" t="s">
        <x:v>191</x:v>
      </x:c>
      <x:c r="X36" s="523" t="s">
        <x:v>817</x:v>
      </x:c>
      <x:c r="Y36" s="503" t="s">
        <x:v>191</x:v>
      </x:c>
    </x:row>
    <x:row r="37" spans="18:25" ht="13.15" customHeight="1">
      <x:c r="R37" s="577">
        <x:v>33</x:v>
      </x:c>
      <x:c r="S37" s="1435" t="s">
        <x:v>831</x:v>
      </x:c>
      <x:c r="T37" s="1435" t="s">
        <x:v>802</x:v>
      </x:c>
      <x:c r="U37" s="1435" t="s">
        <x:v>832</x:v>
      </x:c>
      <x:c r="V37" s="523" t="s">
        <x:v>833</x:v>
      </x:c>
      <x:c r="W37" s="503" t="s">
        <x:v>191</x:v>
      </x:c>
      <x:c r="X37" s="523" t="s">
        <x:v>795</x:v>
      </x:c>
      <x:c r="Y37" s="503" t="s">
        <x:v>191</x:v>
      </x:c>
    </x:row>
    <x:row r="38" spans="18:25" ht="13.15" customHeight="1">
      <x:c r="R38" s="577">
        <x:v>34</x:v>
      </x:c>
      <x:c r="S38" s="1435"/>
      <x:c r="T38" s="1435"/>
      <x:c r="U38" s="1435"/>
      <x:c r="V38" s="523" t="s">
        <x:v>834</x:v>
      </x:c>
      <x:c r="W38" s="503" t="s">
        <x:v>191</x:v>
      </x:c>
      <x:c r="X38" s="523" t="s">
        <x:v>781</x:v>
      </x:c>
      <x:c r="Y38" s="503" t="s">
        <x:v>191</x:v>
      </x:c>
    </x:row>
    <x:row r="39" spans="18:25" ht="13.15" customHeight="1">
      <x:c r="R39" s="577">
        <x:v>35</x:v>
      </x:c>
      <x:c r="S39" s="1435" t="s">
        <x:v>1203</x:v>
      </x:c>
      <x:c r="T39" s="1435" t="s">
        <x:v>247</x:v>
      </x:c>
      <x:c r="U39" s="1435" t="s">
        <x:v>832</x:v>
      </x:c>
      <x:c r="V39" s="523" t="s">
        <x:v>833</x:v>
      </x:c>
      <x:c r="W39" s="503" t="s">
        <x:v>191</x:v>
      </x:c>
      <x:c r="X39" s="523" t="s">
        <x:v>835</x:v>
      </x:c>
      <x:c r="Y39" s="503" t="s">
        <x:v>191</x:v>
      </x:c>
    </x:row>
    <x:row r="40" spans="18:25" ht="13.15" customHeight="1">
      <x:c r="R40" s="577">
        <x:v>36</x:v>
      </x:c>
      <x:c r="S40" s="1435"/>
      <x:c r="T40" s="1435"/>
      <x:c r="U40" s="1435"/>
      <x:c r="V40" s="523" t="s">
        <x:v>834</x:v>
      </x:c>
      <x:c r="W40" s="503" t="s">
        <x:v>191</x:v>
      </x:c>
      <x:c r="X40" s="523" t="s">
        <x:v>781</x:v>
      </x:c>
      <x:c r="Y40" s="503" t="s">
        <x:v>191</x:v>
      </x:c>
    </x:row>
    <x:row r="41" spans="18:25" ht="13.15" customHeight="1">
      <x:c r="R41" s="577">
        <x:v>37</x:v>
      </x:c>
      <x:c r="S41" s="1435" t="s">
        <x:v>1202</x:v>
      </x:c>
      <x:c r="T41" s="1435" t="s">
        <x:v>779</x:v>
      </x:c>
      <x:c r="U41" s="1435" t="s">
        <x:v>832</x:v>
      </x:c>
      <x:c r="V41" s="523" t="s">
        <x:v>833</x:v>
      </x:c>
      <x:c r="W41" s="503" t="s">
        <x:v>191</x:v>
      </x:c>
      <x:c r="X41" s="523" t="s">
        <x:v>835</x:v>
      </x:c>
      <x:c r="Y41" s="503" t="s">
        <x:v>191</x:v>
      </x:c>
    </x:row>
    <x:row r="42" spans="18:25" ht="13.15" customHeight="1">
      <x:c r="R42" s="577">
        <x:v>38</x:v>
      </x:c>
      <x:c r="S42" s="1435"/>
      <x:c r="T42" s="1435"/>
      <x:c r="U42" s="1435"/>
      <x:c r="V42" s="523" t="s">
        <x:v>834</x:v>
      </x:c>
      <x:c r="W42" s="503" t="s">
        <x:v>191</x:v>
      </x:c>
      <x:c r="X42" s="523" t="s">
        <x:v>836</x:v>
      </x:c>
      <x:c r="Y42" s="503" t="s">
        <x:v>191</x:v>
      </x:c>
    </x:row>
  </x:sheetData>
  <x:mergeCells count="59">
    <x:mergeCell ref="B4:C4"/>
    <x:mergeCell ref="B5:C5"/>
    <x:mergeCell ref="S39:S40"/>
    <x:mergeCell ref="T39:T40"/>
    <x:mergeCell ref="U39:U40"/>
    <x:mergeCell ref="S31:S32"/>
    <x:mergeCell ref="T31:T32"/>
    <x:mergeCell ref="U31:U32"/>
    <x:mergeCell ref="S33:S34"/>
    <x:mergeCell ref="T33:T34"/>
    <x:mergeCell ref="U33:U34"/>
    <x:mergeCell ref="S27:S28"/>
    <x:mergeCell ref="T27:T28"/>
    <x:mergeCell ref="U27:U28"/>
    <x:mergeCell ref="S29:S30"/>
    <x:mergeCell ref="T29:T30"/>
    <x:mergeCell ref="S41:S42"/>
    <x:mergeCell ref="T41:T42"/>
    <x:mergeCell ref="U41:U42"/>
    <x:mergeCell ref="S35:S36"/>
    <x:mergeCell ref="T35:T36"/>
    <x:mergeCell ref="U35:U36"/>
    <x:mergeCell ref="S37:S38"/>
    <x:mergeCell ref="T37:T38"/>
    <x:mergeCell ref="U37:U38"/>
    <x:mergeCell ref="S21:S22"/>
    <x:mergeCell ref="T21:T22"/>
    <x:mergeCell ref="U21:U22"/>
    <x:mergeCell ref="U29:U30"/>
    <x:mergeCell ref="S23:S24"/>
    <x:mergeCell ref="T23:T24"/>
    <x:mergeCell ref="U23:U24"/>
    <x:mergeCell ref="S25:S26"/>
    <x:mergeCell ref="T25:T26"/>
    <x:mergeCell ref="U25:U26"/>
    <x:mergeCell ref="S17:S18"/>
    <x:mergeCell ref="T17:T18"/>
    <x:mergeCell ref="U17:U18"/>
    <x:mergeCell ref="S19:S20"/>
    <x:mergeCell ref="T19:T20"/>
    <x:mergeCell ref="U19:U20"/>
    <x:mergeCell ref="S13:S14"/>
    <x:mergeCell ref="T13:T14"/>
    <x:mergeCell ref="U13:U14"/>
    <x:mergeCell ref="S15:S16"/>
    <x:mergeCell ref="T15:T16"/>
    <x:mergeCell ref="U15:U16"/>
    <x:mergeCell ref="S9:S10"/>
    <x:mergeCell ref="T9:T10"/>
    <x:mergeCell ref="U9:U10"/>
    <x:mergeCell ref="S11:S12"/>
    <x:mergeCell ref="T11:T12"/>
    <x:mergeCell ref="U11:U12"/>
    <x:mergeCell ref="S5:S6"/>
    <x:mergeCell ref="T5:T6"/>
    <x:mergeCell ref="U5:U6"/>
    <x:mergeCell ref="S7:S8"/>
    <x:mergeCell ref="T7:T8"/>
    <x:mergeCell ref="U7:U8"/>
  </x:mergeCells>
  <x:phoneticPr fontId="3" type="noConversion"/>
  <x:pageMargins left="0.7" right="0.7" top="0.75" bottom="0.75" header="0.3" footer="0.3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9EB7860-F479-458C-B791-D25711133C46}" mc:Ignorable="x14ac xr xr2 xr3">
  <x:sheetPr codeName="Sheet18"/>
  <x:dimension ref="B2:AE28"/>
  <x:sheetViews>
    <x:sheetView topLeftCell="D5" zoomScale="130" zoomScaleNormal="130" workbookViewId="0">
      <x:selection activeCell="D13" sqref="D13"/>
    </x:sheetView>
  </x:sheetViews>
  <x:sheetFormatPr defaultColWidth="8.75" defaultRowHeight="16.5"/>
  <x:cols>
    <x:col min="1" max="1" width="0.75" style="541" customWidth="1"/>
    <x:col min="2" max="3" width="8.75" style="541"/>
    <x:col min="4" max="12" width="8.25" style="541" customWidth="1"/>
    <x:col min="13" max="13" width="9.25" style="541" customWidth="1"/>
    <x:col min="14" max="14" width="8.25" style="541" customWidth="1"/>
    <x:col min="15" max="15" width="9.25" style="541" bestFit="1" customWidth="1"/>
    <x:col min="16" max="16" width="16.5" style="541" customWidth="1"/>
    <x:col min="17" max="17" width="8.75" style="541"/>
    <x:col min="18" max="18" width="4.25" style="2" customWidth="1"/>
    <x:col min="19" max="19" width="11" style="2" bestFit="1" customWidth="1"/>
    <x:col min="20" max="20" width="15.875" style="2" bestFit="1" customWidth="1"/>
    <x:col min="21" max="21" width="13" style="2" bestFit="1" customWidth="1"/>
    <x:col min="22" max="22" width="14.75" style="2" bestFit="1" customWidth="1"/>
    <x:col min="23" max="23" width="28.25" style="2" bestFit="1" customWidth="1"/>
    <x:col min="24" max="24" width="14.5" style="2" bestFit="1" customWidth="1"/>
    <x:col min="25" max="25" width="17.375" style="2" bestFit="1" customWidth="1"/>
    <x:col min="26" max="26" width="11.625" style="2" bestFit="1" customWidth="1"/>
    <x:col min="27" max="27" width="16.125" style="2" bestFit="1" customWidth="1"/>
    <x:col min="28" max="31" width="8.75" style="2"/>
    <x:col min="32" max="16384" width="8.75" style="541"/>
  </x:cols>
  <x:sheetData>
    <x:row r="2" spans="2:26" s="462" customFormat="1" ht="26.25">
      <x:c r="B2" s="452" t="s">
        <x:v>1021</x:v>
      </x:c>
      <x:c r="C2" s="394"/>
      <x:c r="D2" s="394"/>
      <x:c r="E2" s="394"/>
      <x:c r="F2" s="404"/>
      <x:c r="G2" s="309"/>
      <x:c r="H2" s="394"/>
      <x:c r="R2" s="382"/>
      <x:c r="S2" s="382"/>
      <x:c r="T2" s="382"/>
      <x:c r="U2" s="382"/>
      <x:c r="V2" s="382"/>
      <x:c r="W2" s="382"/>
      <x:c r="X2" s="382"/>
      <x:c r="Y2" s="382"/>
      <x:c r="Z2" s="382"/>
    </x:row>
    <x:row r="3" spans="2:26" s="462" customFormat="1" ht="2.4500000000000002" customHeight="1">
      <x:c r="B3" s="714"/>
      <x:c r="C3" s="714"/>
      <x:c r="D3" s="714"/>
      <x:c r="E3" s="714"/>
      <x:c r="F3" s="614"/>
      <x:c r="G3" s="768"/>
      <x:c r="H3" s="714"/>
      <x:c r="R3" s="382"/>
      <x:c r="S3" s="382"/>
      <x:c r="T3" s="382"/>
      <x:c r="U3" s="382"/>
      <x:c r="V3" s="382"/>
      <x:c r="W3" s="382"/>
      <x:c r="X3" s="382"/>
      <x:c r="Y3" s="382"/>
      <x:c r="Z3" s="382"/>
    </x:row>
    <x:row r="4" spans="2:26" s="462" customFormat="1" ht="11.45" customHeight="1">
      <x:c r="B4" s="564"/>
      <x:c r="C4" s="564"/>
      <x:c r="D4" s="564"/>
      <x:c r="E4" s="564"/>
      <x:c r="F4" s="806"/>
      <x:c r="G4" s="802"/>
      <x:c r="H4" s="564"/>
      <x:c r="I4" s="564"/>
      <x:c r="R4" s="382"/>
      <x:c r="S4" s="382"/>
      <x:c r="T4" s="382"/>
      <x:c r="U4" s="382"/>
      <x:c r="V4" s="382"/>
      <x:c r="W4" s="382"/>
      <x:c r="X4" s="382"/>
      <x:c r="Y4" s="382"/>
      <x:c r="Z4" s="382"/>
    </x:row>
    <x:row r="5" spans="2:26" s="521" customFormat="1" ht="19.149999999999999" customHeight="1">
      <x:c r="B5" s="1443"/>
      <x:c r="C5" s="1443"/>
      <x:c r="D5" s="177" t="s">
        <x:v>169</x:v>
      </x:c>
      <x:c r="E5" s="177" t="s">
        <x:v>170</x:v>
      </x:c>
      <x:c r="F5" s="177" t="s">
        <x:v>171</x:v>
      </x:c>
      <x:c r="G5" s="177" t="s">
        <x:v>172</x:v>
      </x:c>
      <x:c r="H5" s="177" t="s">
        <x:v>173</x:v>
      </x:c>
      <x:c r="I5" s="177" t="s">
        <x:v>174</x:v>
      </x:c>
      <x:c r="J5" s="177" t="s">
        <x:v>175</x:v>
      </x:c>
      <x:c r="K5" s="177" t="s">
        <x:v>176</x:v>
      </x:c>
      <x:c r="L5" s="177" t="s">
        <x:v>177</x:v>
      </x:c>
      <x:c r="M5" s="177" t="s">
        <x:v>178</x:v>
      </x:c>
      <x:c r="N5" s="177" t="s">
        <x:v>179</x:v>
      </x:c>
      <x:c r="O5" s="177" t="s">
        <x:v>180</x:v>
      </x:c>
      <x:c r="P5" s="162" t="s">
        <x:v>524</x:v>
      </x:c>
      <x:c r="Q5" s="530"/>
      <x:c r="R5" s="530"/>
      <x:c r="S5" s="530"/>
      <x:c r="T5" s="530"/>
      <x:c r="U5" s="530"/>
      <x:c r="V5" s="530"/>
      <x:c r="W5" s="530"/>
      <x:c r="X5" s="530"/>
      <x:c r="Y5" s="530"/>
      <x:c r="Z5" s="530"/>
    </x:row>
    <x:row r="6" spans="2:26" s="521" customFormat="1" ht="19.149999999999999" customHeight="1">
      <x:c r="B6" s="1444" t="s">
        <x:v>1022</x:v>
      </x:c>
      <x:c r="C6" s="1445"/>
      <x:c r="D6" s="540" t="s">
        <x:v>1187</x:v>
      </x:c>
      <x:c r="E6" s="540" t="s">
        <x:v>1187</x:v>
      </x:c>
      <x:c r="F6" s="540" t="s">
        <x:v>1187</x:v>
      </x:c>
      <x:c r="G6" s="540" t="s">
        <x:v>1187</x:v>
      </x:c>
      <x:c r="H6" s="386">
        <x:v>2000000</x:v>
      </x:c>
      <x:c r="I6" s="540" t="s">
        <x:v>1187</x:v>
      </x:c>
      <x:c r="J6" s="540" t="s">
        <x:v>1187</x:v>
      </x:c>
      <x:c r="K6" s="540" t="s">
        <x:v>1187</x:v>
      </x:c>
      <x:c r="L6" s="540" t="s">
        <x:v>1187</x:v>
      </x:c>
      <x:c r="M6" s="540" t="s">
        <x:v>1187</x:v>
      </x:c>
      <x:c r="N6" s="540" t="s">
        <x:v>1187</x:v>
      </x:c>
      <x:c r="O6" s="540" t="s">
        <x:v>1187</x:v>
      </x:c>
      <x:c r="P6" s="386">
        <x:f>SUM(D6:O6)</x:f>
        <x:v>2000000</x:v>
      </x:c>
      <x:c r="Q6" s="530"/>
      <x:c r="R6" s="530"/>
      <x:c r="S6" s="530"/>
      <x:c r="T6" s="530"/>
      <x:c r="U6" s="530"/>
      <x:c r="V6" s="530"/>
      <x:c r="W6" s="530"/>
      <x:c r="X6" s="530"/>
      <x:c r="Y6" s="530"/>
      <x:c r="Z6" s="530"/>
    </x:row>
    <x:row r="7" spans="2:26">
      <x:c r="D7" s="387"/>
      <x:c r="E7" s="388"/>
      <x:c r="F7" s="388"/>
      <x:c r="G7" s="388"/>
      <x:c r="H7" s="388"/>
      <x:c r="I7" s="388"/>
      <x:c r="J7" s="388"/>
      <x:c r="K7" s="388"/>
      <x:c r="L7" s="388"/>
      <x:c r="M7" s="388"/>
      <x:c r="N7" s="388"/>
      <x:c r="O7" s="388"/>
      <x:c r="P7" s="387"/>
    </x:row>
    <x:row r="8" spans="2:26">
      <x:c r="E8" s="764"/>
    </x:row>
    <x:row r="9" spans="2:26" s="462" customFormat="1" ht="26.25">
      <x:c r="B9" s="452" t="s">
        <x:v>1251</x:v>
      </x:c>
      <x:c r="C9" s="394"/>
      <x:c r="D9" s="394"/>
      <x:c r="E9" s="394"/>
      <x:c r="F9" s="404"/>
      <x:c r="G9" s="309"/>
      <x:c r="H9" s="394"/>
      <x:c r="R9" s="382"/>
      <x:c r="S9" s="382"/>
      <x:c r="T9" s="382"/>
      <x:c r="U9" s="382"/>
      <x:c r="V9" s="382"/>
      <x:c r="W9" s="382"/>
      <x:c r="X9" s="382"/>
      <x:c r="Y9" s="382"/>
      <x:c r="Z9" s="382"/>
    </x:row>
    <x:row r="10" spans="2:26" s="462" customFormat="1" ht="2.4500000000000002" customHeight="1">
      <x:c r="B10" s="714"/>
      <x:c r="C10" s="714"/>
      <x:c r="D10" s="714"/>
      <x:c r="E10" s="714"/>
      <x:c r="F10" s="614"/>
      <x:c r="G10" s="768"/>
      <x:c r="H10" s="714"/>
      <x:c r="R10" s="382"/>
      <x:c r="S10" s="382"/>
      <x:c r="T10" s="382"/>
      <x:c r="U10" s="382"/>
      <x:c r="V10" s="382"/>
      <x:c r="W10" s="382"/>
      <x:c r="X10" s="382"/>
      <x:c r="Y10" s="382"/>
      <x:c r="Z10" s="382"/>
    </x:row>
    <x:row r="11" spans="2:26" s="462" customFormat="1" ht="11.45" customHeight="1">
      <x:c r="B11" s="564"/>
      <x:c r="C11" s="564"/>
      <x:c r="D11" s="564"/>
      <x:c r="E11" s="564"/>
      <x:c r="F11" s="806"/>
      <x:c r="G11" s="802"/>
      <x:c r="H11" s="564"/>
      <x:c r="I11" s="564"/>
      <x:c r="R11" s="382"/>
      <x:c r="S11" s="382"/>
      <x:c r="T11" s="382"/>
      <x:c r="U11" s="382"/>
      <x:c r="V11" s="382"/>
      <x:c r="W11" s="382"/>
      <x:c r="X11" s="382"/>
      <x:c r="Y11" s="382"/>
      <x:c r="Z11" s="382"/>
    </x:row>
    <x:row r="12" spans="2:26" s="521" customFormat="1" ht="19.149999999999999" customHeight="1">
      <x:c r="B12" s="1443"/>
      <x:c r="C12" s="1443"/>
      <x:c r="D12" s="177" t="s">
        <x:v>169</x:v>
      </x:c>
      <x:c r="E12" s="177" t="s">
        <x:v>170</x:v>
      </x:c>
      <x:c r="F12" s="177" t="s">
        <x:v>171</x:v>
      </x:c>
      <x:c r="G12" s="177" t="s">
        <x:v>172</x:v>
      </x:c>
      <x:c r="H12" s="177" t="s">
        <x:v>173</x:v>
      </x:c>
      <x:c r="I12" s="177" t="s">
        <x:v>174</x:v>
      </x:c>
      <x:c r="J12" s="177" t="s">
        <x:v>175</x:v>
      </x:c>
      <x:c r="K12" s="177" t="s">
        <x:v>176</x:v>
      </x:c>
      <x:c r="L12" s="177" t="s">
        <x:v>177</x:v>
      </x:c>
      <x:c r="M12" s="177" t="s">
        <x:v>178</x:v>
      </x:c>
      <x:c r="N12" s="177" t="s">
        <x:v>179</x:v>
      </x:c>
      <x:c r="O12" s="177" t="s">
        <x:v>180</x:v>
      </x:c>
      <x:c r="P12" s="162" t="s">
        <x:v>524</x:v>
      </x:c>
      <x:c r="R12" s="177"/>
      <x:c r="S12" s="177" t="s">
        <x:v>1122</x:v>
      </x:c>
      <x:c r="T12" s="177" t="s">
        <x:v>1105</x:v>
      </x:c>
      <x:c r="U12" s="177" t="s">
        <x:v>1124</x:v>
      </x:c>
      <x:c r="V12" s="177" t="s">
        <x:v>1125</x:v>
      </x:c>
      <x:c r="W12" s="177" t="s">
        <x:v>1106</x:v>
      </x:c>
      <x:c r="X12" s="177" t="s">
        <x:v>1103</x:v>
      </x:c>
      <x:c r="Y12" s="177" t="s">
        <x:v>1121</x:v>
      </x:c>
      <x:c r="Z12" s="177" t="s">
        <x:v>1104</x:v>
      </x:c>
    </x:row>
    <x:row r="13" spans="2:26" s="521" customFormat="1" ht="19.149999999999999" customHeight="1">
      <x:c r="B13" s="1441" t="s">
        <x:v>1269</x:v>
      </x:c>
      <x:c r="C13" s="1442"/>
      <x:c r="D13" s="540">
        <x:f>Summary!F5*0.04</x:f>
        <x:v>3741242.7095276448</x:v>
      </x:c>
      <x:c r="E13" s="540">
        <x:f>Summary!G5*0.04</x:f>
        <x:v>4668896.370361439</x:v>
      </x:c>
      <x:c r="F13" s="540">
        <x:f>Summary!H5*0.04</x:f>
        <x:v>6645845.5239378205</x:v>
      </x:c>
      <x:c r="G13" s="540">
        <x:f>Summary!I5*0.04</x:f>
        <x:v>5543907.9507272523</x:v>
      </x:c>
      <x:c r="H13" s="540">
        <x:f>Summary!J5*0.04</x:f>
        <x:v>5072989.0701588914</x:v>
      </x:c>
      <x:c r="I13" s="540">
        <x:f>Summary!K5*0.04</x:f>
        <x:v>7729646.6504976433</x:v>
      </x:c>
      <x:c r="J13" s="540">
        <x:f>Summary!L5*0.04</x:f>
        <x:v>4731807.5557260523</x:v>
      </x:c>
      <x:c r="K13" s="540">
        <x:f>Summary!M5*0.04</x:f>
        <x:v>7045405.952088655</x:v>
      </x:c>
      <x:c r="L13" s="540">
        <x:f>Summary!N5*0.04</x:f>
        <x:v>6362025.6549182134</x:v>
      </x:c>
      <x:c r="M13" s="540">
        <x:f>Summary!O5*0.04</x:f>
        <x:v>9346540.2662907131</x:v>
      </x:c>
      <x:c r="N13" s="540">
        <x:f>Summary!P5*0.04</x:f>
        <x:v>6623507.3989936616</x:v>
      </x:c>
      <x:c r="O13" s="540">
        <x:f>Summary!Q5*0.04</x:f>
        <x:v>6737261.3654026948</x:v>
      </x:c>
      <x:c r="P13" s="540">
        <x:f>SUM(D13:O13)</x:f>
        <x:v>74249076.468630686</x:v>
      </x:c>
      <x:c r="R13" s="803">
        <x:v>1</x:v>
      </x:c>
      <x:c r="S13" s="532" t="s">
        <x:v>1123</x:v>
      </x:c>
      <x:c r="T13" s="414" t="s">
        <x:v>1108</x:v>
      </x:c>
      <x:c r="U13" s="609">
        <x:f>V13*43</x:f>
        <x:v>10316492.49</x:v>
      </x:c>
      <x:c r="V13" s="679">
        <x:v>239918.43</x:v>
      </x:c>
      <x:c r="W13" s="414" t="s">
        <x:v>1207</x:v>
      </x:c>
      <x:c r="X13" s="696" t="s">
        <x:v>1107</x:v>
      </x:c>
      <x:c r="Y13" s="657" t="s">
        <x:v>1118</x:v>
      </x:c>
      <x:c r="Z13" s="532">
        <x:v>45733</x:v>
      </x:c>
    </x:row>
    <x:row r="14" spans="2:26" ht="19.149999999999999" customHeight="1">
      <x:c r="B14" s="1441" t="s">
        <x:v>1270</x:v>
      </x:c>
      <x:c r="C14" s="1442"/>
      <x:c r="D14" s="540">
        <x:f>$P$14/12</x:f>
        <x:v>65256.799999999996</x:v>
      </x:c>
      <x:c r="E14" s="540">
        <x:f t="shared" ref="E14:O14" si="0">$P$14/12</x:f>
        <x:v>65256.799999999996</x:v>
      </x:c>
      <x:c r="F14" s="540">
        <x:f t="shared" si="0"/>
        <x:v>65256.799999999996</x:v>
      </x:c>
      <x:c r="G14" s="540">
        <x:f t="shared" si="0"/>
        <x:v>65256.799999999996</x:v>
      </x:c>
      <x:c r="H14" s="540">
        <x:f t="shared" si="0"/>
        <x:v>65256.799999999996</x:v>
      </x:c>
      <x:c r="I14" s="540">
        <x:f t="shared" si="0"/>
        <x:v>65256.799999999996</x:v>
      </x:c>
      <x:c r="J14" s="540">
        <x:f t="shared" si="0"/>
        <x:v>65256.799999999996</x:v>
      </x:c>
      <x:c r="K14" s="540">
        <x:f t="shared" si="0"/>
        <x:v>65256.799999999996</x:v>
      </x:c>
      <x:c r="L14" s="540">
        <x:f t="shared" si="0"/>
        <x:v>65256.799999999996</x:v>
      </x:c>
      <x:c r="M14" s="540">
        <x:f t="shared" si="0"/>
        <x:v>65256.799999999996</x:v>
      </x:c>
      <x:c r="N14" s="540">
        <x:f t="shared" si="0"/>
        <x:v>65256.799999999996</x:v>
      </x:c>
      <x:c r="O14" s="540">
        <x:f t="shared" si="0"/>
        <x:v>65256.799999999996</x:v>
      </x:c>
      <x:c r="P14" s="540">
        <x:f>I27*'Exchange Rate'!D13</x:f>
        <x:v>783081.6</x:v>
      </x:c>
      <x:c r="R14" s="803">
        <x:v>2</x:v>
      </x:c>
      <x:c r="S14" s="532" t="s">
        <x:v>1123</x:v>
      </x:c>
      <x:c r="T14" s="414" t="s">
        <x:v>1109</x:v>
      </x:c>
      <x:c r="U14" s="609">
        <x:f t="shared" ref="U14:U18" si="1">V14*43</x:f>
        <x:v>10845880.109999999</x:v>
      </x:c>
      <x:c r="V14" s="679">
        <x:v>252229.77</x:v>
      </x:c>
      <x:c r="W14" s="414" t="s">
        <x:v>1209</x:v>
      </x:c>
      <x:c r="X14" s="696" t="s">
        <x:v>1107</x:v>
      </x:c>
      <x:c r="Y14" s="657" t="s">
        <x:v>1120</x:v>
      </x:c>
      <x:c r="Z14" s="532">
        <x:v>45743</x:v>
      </x:c>
    </x:row>
    <x:row r="15" spans="2:26">
      <x:c r="B15" s="1441" t="s">
        <x:v>207</x:v>
      </x:c>
      <x:c r="C15" s="1442"/>
      <x:c r="D15" s="540">
        <x:f>SUM(D13:D14)</x:f>
        <x:v>3806499.5095276446</x:v>
      </x:c>
      <x:c r="E15" s="540">
        <x:f t="shared" ref="E15:O15" si="2">SUM(E13:E14)</x:f>
        <x:v>4734153.1703614388</x:v>
      </x:c>
      <x:c r="F15" s="540">
        <x:f t="shared" si="2"/>
        <x:v>6711102.3239378203</x:v>
      </x:c>
      <x:c r="G15" s="540">
        <x:f t="shared" si="2"/>
        <x:v>5609164.7507272521</x:v>
      </x:c>
      <x:c r="H15" s="540">
        <x:f t="shared" si="2"/>
        <x:v>5138245.8701588912</x:v>
      </x:c>
      <x:c r="I15" s="540">
        <x:f t="shared" si="2"/>
        <x:v>7794903.4504976431</x:v>
      </x:c>
      <x:c r="J15" s="540">
        <x:f t="shared" si="2"/>
        <x:v>4797064.3557260521</x:v>
      </x:c>
      <x:c r="K15" s="540">
        <x:f t="shared" si="2"/>
        <x:v>7110662.7520886548</x:v>
      </x:c>
      <x:c r="L15" s="540">
        <x:f t="shared" si="2"/>
        <x:v>6427282.4549182132</x:v>
      </x:c>
      <x:c r="M15" s="540">
        <x:f t="shared" si="2"/>
        <x:v>9411797.0662907138</x:v>
      </x:c>
      <x:c r="N15" s="540">
        <x:f t="shared" si="2"/>
        <x:v>6688764.1989936614</x:v>
      </x:c>
      <x:c r="O15" s="540">
        <x:f t="shared" si="2"/>
        <x:v>6802518.1654026946</x:v>
      </x:c>
      <x:c r="P15" s="540">
        <x:f>SUM(D15:O15)</x:f>
        <x:v>75032158.06863068</x:v>
      </x:c>
      <x:c r="R15" s="803">
        <x:v>3</x:v>
      </x:c>
      <x:c r="S15" s="532" t="s">
        <x:v>1123</x:v>
      </x:c>
      <x:c r="T15" s="414" t="s">
        <x:v>1110</x:v>
      </x:c>
      <x:c r="U15" s="609">
        <x:f t="shared" si="1"/>
        <x:v>632575.15</x:v>
      </x:c>
      <x:c r="V15" s="679">
        <x:v>14711.05</x:v>
      </x:c>
      <x:c r="W15" s="414" t="s">
        <x:v>1111</x:v>
      </x:c>
      <x:c r="X15" s="696" t="s">
        <x:v>1107</x:v>
      </x:c>
      <x:c r="Y15" s="657" t="s">
        <x:v>1119</x:v>
      </x:c>
      <x:c r="Z15" s="532">
        <x:v>45743</x:v>
      </x:c>
    </x:row>
    <x:row r="16" spans="2:26">
      <x:c r="M16" s="738"/>
      <x:c r="R16" s="803">
        <x:v>4</x:v>
      </x:c>
      <x:c r="S16" s="532" t="s">
        <x:v>1123</x:v>
      </x:c>
      <x:c r="T16" s="414" t="s">
        <x:v>1112</x:v>
      </x:c>
      <x:c r="U16" s="609">
        <x:f t="shared" si="1"/>
        <x:v>20712562.07</x:v>
      </x:c>
      <x:c r="V16" s="679">
        <x:v>481687.49</x:v>
      </x:c>
      <x:c r="W16" s="414" t="s">
        <x:v>1208</x:v>
      </x:c>
      <x:c r="X16" s="696" t="s">
        <x:v>1107</x:v>
      </x:c>
      <x:c r="Y16" s="657" t="s">
        <x:v>1119</x:v>
      </x:c>
      <x:c r="Z16" s="532">
        <x:v>45838</x:v>
      </x:c>
    </x:row>
    <x:row r="17" spans="2:26">
      <x:c r="M17" s="738"/>
      <x:c r="R17" s="803">
        <x:v>5</x:v>
      </x:c>
      <x:c r="S17" s="532" t="s">
        <x:v>1123</x:v>
      </x:c>
      <x:c r="T17" s="414" t="s">
        <x:v>1113</x:v>
      </x:c>
      <x:c r="U17" s="609">
        <x:f t="shared" si="1"/>
        <x:v>372896</x:v>
      </x:c>
      <x:c r="V17" s="679">
        <x:v>8672</x:v>
      </x:c>
      <x:c r="W17" s="414" t="s">
        <x:v>1114</x:v>
      </x:c>
      <x:c r="X17" s="696" t="s">
        <x:v>1107</x:v>
      </x:c>
      <x:c r="Y17" s="657" t="s">
        <x:v>1119</x:v>
      </x:c>
      <x:c r="Z17" s="532">
        <x:v>45841</x:v>
      </x:c>
    </x:row>
    <x:row r="18" spans="2:26">
      <x:c r="M18" s="738"/>
      <x:c r="R18" s="803">
        <x:v>6</x:v>
      </x:c>
      <x:c r="S18" s="532" t="s">
        <x:v>1123</x:v>
      </x:c>
      <x:c r="T18" s="414" t="s">
        <x:v>1115</x:v>
      </x:c>
      <x:c r="U18" s="609">
        <x:f t="shared" si="1"/>
        <x:v>32804012</x:v>
      </x:c>
      <x:c r="V18" s="679">
        <x:v>762884</x:v>
      </x:c>
      <x:c r="W18" s="414" t="s">
        <x:v>1116</x:v>
      </x:c>
      <x:c r="X18" s="696" t="s">
        <x:v>1107</x:v>
      </x:c>
      <x:c r="Y18" s="657" t="s">
        <x:v>1117</x:v>
      </x:c>
      <x:c r="Z18" s="532">
        <x:v>45980</x:v>
      </x:c>
    </x:row>
    <x:row r="19" spans="2:26">
      <x:c r="M19" s="738"/>
    </x:row>
    <x:row r="20" spans="2:26">
      <x:c r="M20" s="738"/>
    </x:row>
    <x:row r="22" spans="2:26">
      <x:c r="B22" s="868" t="s">
        <x:v>1270</x:v>
      </x:c>
      <x:c r="C22" s="869"/>
      <x:c r="D22"/>
      <x:c r="E22"/>
      <x:c r="F22"/>
    </x:row>
    <x:row r="23" spans="2:26">
      <x:c r="B23" s="1440"/>
      <x:c r="C23" s="1440"/>
      <x:c r="D23" s="870">
        <x:v>2023</x:v>
      </x:c>
      <x:c r="E23" s="1440">
        <x:v>2024</x:v>
      </x:c>
      <x:c r="F23" s="1440"/>
      <x:c r="G23" s="1440">
        <x:v>2025</x:v>
      </x:c>
      <x:c r="H23" s="1440"/>
      <x:c r="I23" s="870">
        <x:v>2026</x:v>
      </x:c>
    </x:row>
    <x:row r="24" spans="2:26">
      <x:c r="B24" s="1440"/>
      <x:c r="C24" s="1440"/>
      <x:c r="D24" s="870" t="s">
        <x:v>1285</x:v>
      </x:c>
      <x:c r="E24" s="870" t="s">
        <x:v>1284</x:v>
      </x:c>
      <x:c r="F24" s="870" t="s">
        <x:v>1281</x:v>
      </x:c>
      <x:c r="G24" s="870" t="s">
        <x:v>1284</x:v>
      </x:c>
      <x:c r="H24" s="870" t="s">
        <x:v>1281</x:v>
      </x:c>
      <x:c r="I24" s="870" t="s">
        <x:v>1285</x:v>
      </x:c>
    </x:row>
    <x:row r="25" spans="2:26">
      <x:c r="B25" s="1439" t="s">
        <x:v>1282</x:v>
      </x:c>
      <x:c r="C25" s="1439"/>
      <x:c r="D25" s="871">
        <x:v>3996</x:v>
      </x:c>
      <x:c r="E25" s="871">
        <x:v>2733</x:v>
      </x:c>
      <x:c r="F25" s="871">
        <x:v>2645</x:v>
      </x:c>
      <x:c r="G25" s="871">
        <x:v>3975</x:v>
      </x:c>
      <x:c r="H25" s="873">
        <x:f>G25</x:f>
        <x:v>3975</x:v>
      </x:c>
      <x:c r="I25" s="874">
        <x:f>SUM(G25:H25)*1.05</x:f>
        <x:v>8347.5</x:v>
      </x:c>
    </x:row>
    <x:row r="26" spans="2:26">
      <x:c r="B26" s="1439" t="s">
        <x:v>1283</x:v>
      </x:c>
      <x:c r="C26" s="1439"/>
      <x:c r="D26" s="871">
        <x:v>2708</x:v>
      </x:c>
      <x:c r="E26" s="871">
        <x:v>2713</x:v>
      </x:c>
      <x:c r="F26" s="871">
        <x:v>2747</x:v>
      </x:c>
      <x:c r="G26" s="871">
        <x:v>4697</x:v>
      </x:c>
      <x:c r="H26" s="873">
        <x:f>G26</x:f>
        <x:v>4697</x:v>
      </x:c>
      <x:c r="I26" s="874">
        <x:f>SUM(G26:H26)*1.05</x:f>
        <x:v>9863.7000000000007</x:v>
      </x:c>
    </x:row>
    <x:row r="27" spans="2:26">
      <x:c r="B27" s="1440" t="s">
        <x:v>186</x:v>
      </x:c>
      <x:c r="C27" s="1440"/>
      <x:c r="D27" s="872">
        <x:v>6704</x:v>
      </x:c>
      <x:c r="E27" s="872">
        <x:v>5446</x:v>
      </x:c>
      <x:c r="F27" s="872">
        <x:v>5392</x:v>
      </x:c>
      <x:c r="G27" s="872">
        <x:f>SUM(G25:G26)</x:f>
        <x:v>8672</x:v>
      </x:c>
      <x:c r="H27" s="875">
        <x:f>G27</x:f>
        <x:v>8672</x:v>
      </x:c>
      <x:c r="I27" s="875">
        <x:f>SUM(G27:H27)*1.05</x:f>
        <x:v>18211.2</x:v>
      </x:c>
    </x:row>
    <x:row r="28" spans="2:26">
      <x:c r="I28" s="541" t="s">
        <x:v>1286</x:v>
      </x:c>
    </x:row>
  </x:sheetData>
  <x:mergeCells count="13">
    <x:mergeCell ref="B15:C15"/>
    <x:mergeCell ref="B5:C5"/>
    <x:mergeCell ref="B6:C6"/>
    <x:mergeCell ref="B12:C12"/>
    <x:mergeCell ref="B14:C14"/>
    <x:mergeCell ref="B13:C13"/>
    <x:mergeCell ref="B25:C25"/>
    <x:mergeCell ref="B26:C26"/>
    <x:mergeCell ref="B27:C27"/>
    <x:mergeCell ref="G23:H23"/>
    <x:mergeCell ref="E23:F23"/>
    <x:mergeCell ref="B23:C23"/>
    <x:mergeCell ref="B24:C24"/>
  </x:mergeCells>
  <x:phoneticPr fontId="3" type="noConversion"/>
  <x:pageMargins left="0.7" right="0.7" top="0.75" bottom="0.75" header="0.3" footer="0.3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A57C099-3760-45D8-B25F-9FA46E9DBD2C}" mc:Ignorable="x14ac xr xr2 xr3">
  <x:sheetPr codeName="Sheet19"/>
  <x:dimension ref="B1:O43"/>
  <x:sheetViews>
    <x:sheetView zoomScaleNormal="100" workbookViewId="0">
      <x:selection activeCell="J10" sqref="J10"/>
    </x:sheetView>
  </x:sheetViews>
  <x:sheetFormatPr defaultColWidth="10.75" defaultRowHeight="15" customHeight="1"/>
  <x:cols>
    <x:col min="1" max="1" width="2.375" customWidth="1"/>
    <x:col min="2" max="2" width="27.25" customWidth="1"/>
    <x:col min="3" max="3" width="10.875" bestFit="1" customWidth="1"/>
    <x:col min="4" max="4" width="15" bestFit="1" customWidth="1"/>
    <x:col min="5" max="5" width="20" bestFit="1" customWidth="1"/>
    <x:col min="6" max="10" width="11.75" bestFit="1" customWidth="1"/>
    <x:col min="11" max="11" width="12.625" bestFit="1" customWidth="1"/>
    <x:col min="12" max="14" width="11.75" bestFit="1" customWidth="1"/>
    <x:col min="15" max="15" width="13.75" bestFit="1" customWidth="1"/>
    <x:col min="16" max="16" width="4.75" customWidth="1"/>
    <x:col min="17" max="17" width="20.125" bestFit="1" customWidth="1"/>
    <x:col min="18" max="18" width="12.125" bestFit="1" customWidth="1"/>
    <x:col min="19" max="19" width="13.375" bestFit="1" customWidth="1"/>
    <x:col min="20" max="26" width="12.125" bestFit="1" customWidth="1"/>
  </x:cols>
  <x:sheetData>
    <x:row r="1" spans="2:15" ht="24.6" customHeight="1">
      <x:c r="B1" s="26" t="s">
        <x:v>1128</x:v>
      </x:c>
    </x:row>
    <x:row r="2" spans="2:15" s="462" customFormat="1" ht="2.4500000000000002" customHeight="1">
      <x:c r="B2" s="714"/>
      <x:c r="C2" s="714"/>
      <x:c r="D2" s="714"/>
      <x:c r="E2" s="714"/>
      <x:c r="F2" s="614"/>
      <x:c r="G2" s="768"/>
      <x:c r="H2" s="714"/>
    </x:row>
    <x:row r="3" spans="2:15" ht="16.899999999999999" customHeight="1">
      <x:c r="B3" s="763" t="s">
        <x:v>267</x:v>
      </x:c>
      <x:c r="C3" s="788">
        <x:v>1</x:v>
      </x:c>
      <x:c r="D3" s="788">
        <x:v>2</x:v>
      </x:c>
      <x:c r="E3" s="788">
        <x:v>3</x:v>
      </x:c>
      <x:c r="F3" s="788">
        <x:v>4</x:v>
      </x:c>
      <x:c r="G3" s="788">
        <x:v>5</x:v>
      </x:c>
      <x:c r="H3" s="788">
        <x:v>6</x:v>
      </x:c>
      <x:c r="I3" s="788">
        <x:v>7</x:v>
      </x:c>
      <x:c r="J3" s="788">
        <x:v>8</x:v>
      </x:c>
      <x:c r="K3" s="788">
        <x:v>9</x:v>
      </x:c>
      <x:c r="L3" s="788">
        <x:v>10</x:v>
      </x:c>
      <x:c r="M3" s="788">
        <x:v>11</x:v>
      </x:c>
      <x:c r="N3" s="788">
        <x:v>12</x:v>
      </x:c>
      <x:c r="O3" s="788" t="s">
        <x:v>1206</x:v>
      </x:c>
    </x:row>
    <x:row r="4" spans="2:15" ht="16.899999999999999" customHeight="1">
      <x:c r="B4" s="790" t="s">
        <x:v>1126</x:v>
      </x:c>
      <x:c r="C4" s="550">
        <x:f>+Summary!F5</x:f>
        <x:v>93531067.738191113</x:v>
      </x:c>
      <x:c r="D4" s="550">
        <x:f>+Summary!G5</x:f>
        <x:v>116722409.25903596</x:v>
      </x:c>
      <x:c r="E4" s="550">
        <x:f>+Summary!H5</x:f>
        <x:v>166146138.0984455</x:v>
      </x:c>
      <x:c r="F4" s="550">
        <x:f>+Summary!I5</x:f>
        <x:v>138597698.76818129</x:v>
      </x:c>
      <x:c r="G4" s="550">
        <x:f>+Summary!J5</x:f>
        <x:v>126824726.75397228</x:v>
      </x:c>
      <x:c r="H4" s="550">
        <x:f>+Summary!K5</x:f>
        <x:v>193241166.26244107</x:v>
      </x:c>
      <x:c r="I4" s="550">
        <x:f>+Summary!L5</x:f>
        <x:v>118295188.89315131</x:v>
      </x:c>
      <x:c r="J4" s="550">
        <x:f>+Summary!M5</x:f>
        <x:v>176135148.80221638</x:v>
      </x:c>
      <x:c r="K4" s="550">
        <x:f>+Summary!N5</x:f>
        <x:v>159050641.37295532</x:v>
      </x:c>
      <x:c r="L4" s="550">
        <x:f>+Summary!O5</x:f>
        <x:v>233663506.65726784</x:v>
      </x:c>
      <x:c r="M4" s="550">
        <x:f>+Summary!P5</x:f>
        <x:v>165587684.97484154</x:v>
      </x:c>
      <x:c r="N4" s="550">
        <x:f>+Summary!Q5</x:f>
        <x:v>168431534.13506737</x:v>
      </x:c>
      <x:c r="O4" s="550">
        <x:f>SUM(C4:N4)</x:f>
        <x:v>1856226911.7157671</x:v>
      </x:c>
    </x:row>
    <x:row r="5" spans="2:15" ht="16.899999999999999" customHeight="1">
      <x:c r="B5" s="790" t="s">
        <x:v>135</x:v>
      </x:c>
      <x:c r="C5" s="550">
        <x:f>+C4*$O$15</x:f>
        <x:v>1104821.0256835578</x:v>
      </x:c>
      <x:c r="D5" s="550">
        <x:f t="shared" ref="D5:N5" si="0">+D4*$O$15</x:f>
        <x:v>1378765.099515351</x:v>
      </x:c>
      <x:c r="E5" s="550">
        <x:f t="shared" si="0"/>
        <x:v>1962575.1223230574</x:v>
      </x:c>
      <x:c r="F5" s="550">
        <x:f t="shared" si="0"/>
        <x:v>1637163.5159674087</x:v>
      </x:c>
      <x:c r="G5" s="550">
        <x:f t="shared" si="0"/>
        <x:v>1498097.1358797671</x:v>
      </x:c>
      <x:c r="H5" s="550">
        <x:f t="shared" si="0"/>
        <x:v>2282630.8805964892</x:v>
      </x:c>
      <x:c r="I5" s="550">
        <x:f t="shared" si="0"/>
        <x:v>1397343.3115528899</x:v>
      </x:c>
      <x:c r="J5" s="550">
        <x:f t="shared" si="0"/>
        <x:v>2080568.7400394289</x:v>
      </x:c>
      <x:c r="K5" s="550">
        <x:f t="shared" si="0"/>
        <x:v>1878760.6833397052</x:v>
      </x:c>
      <x:c r="L5" s="550">
        <x:f t="shared" si="0"/>
        <x:v>2760113.4182763924</x:v>
      </x:c>
      <x:c r="M5" s="550">
        <x:f t="shared" si="0"/>
        <x:v>1955978.4826423966</x:v>
      </x:c>
      <x:c r="N5" s="550">
        <x:f t="shared" si="0"/>
        <x:v>1989571.0035241731</x:v>
      </x:c>
      <x:c r="O5" s="550">
        <x:f>SUM(C5:N5)</x:f>
        <x:v>21926388.419340618</x:v>
      </x:c>
    </x:row>
    <x:row r="6" spans="2:15" ht="16.899999999999999" customHeight="1">
      <x:c r="B6" s="575"/>
      <x:c r="C6" s="590">
        <x:v>1.18E-2</x:v>
      </x:c>
      <x:c r="D6" s="590">
        <x:v>1.18E-2</x:v>
      </x:c>
      <x:c r="E6" s="590">
        <x:v>1.18E-2</x:v>
      </x:c>
      <x:c r="F6" s="590">
        <x:v>1.18E-2</x:v>
      </x:c>
      <x:c r="G6" s="590">
        <x:v>1.18E-2</x:v>
      </x:c>
      <x:c r="H6" s="590">
        <x:v>1.18E-2</x:v>
      </x:c>
      <x:c r="I6" s="590">
        <x:v>1.18E-2</x:v>
      </x:c>
      <x:c r="J6" s="590">
        <x:v>1.18E-2</x:v>
      </x:c>
      <x:c r="K6" s="590">
        <x:v>1.18E-2</x:v>
      </x:c>
      <x:c r="L6" s="590">
        <x:v>1.18E-2</x:v>
      </x:c>
      <x:c r="M6" s="590">
        <x:v>1.18E-2</x:v>
      </x:c>
      <x:c r="N6" s="590">
        <x:v>1.18E-2</x:v>
      </x:c>
      <x:c r="O6" s="590">
        <x:v>1.18E-2</x:v>
      </x:c>
    </x:row>
    <x:row r="7" spans="2:15" ht="15" customHeight="1">
      <x:c r="C7" s="950"/>
    </x:row>
    <x:row r="10" spans="2:15" ht="31.15" customHeight="1">
      <x:c r="B10" s="26" t="s">
        <x:v>1127</x:v>
      </x:c>
    </x:row>
    <x:row r="11" spans="2:15" s="462" customFormat="1" ht="2.4500000000000002" customHeight="1">
      <x:c r="B11" s="714"/>
      <x:c r="C11" s="714"/>
      <x:c r="D11" s="714"/>
      <x:c r="E11" s="714"/>
      <x:c r="F11" s="614"/>
      <x:c r="G11" s="768"/>
      <x:c r="H11" s="714"/>
    </x:row>
    <x:row r="12" spans="2:15" ht="15" customHeight="1">
      <x:c r="B12" s="553" t="s">
        <x:v>267</x:v>
      </x:c>
      <x:c r="C12" s="553">
        <x:v>1</x:v>
      </x:c>
      <x:c r="D12" s="553">
        <x:v>2</x:v>
      </x:c>
      <x:c r="E12" s="553">
        <x:v>3</x:v>
      </x:c>
      <x:c r="F12" s="553">
        <x:v>4</x:v>
      </x:c>
      <x:c r="G12" s="553">
        <x:v>5</x:v>
      </x:c>
      <x:c r="H12" s="553">
        <x:v>6</x:v>
      </x:c>
      <x:c r="I12" s="553">
        <x:v>7</x:v>
      </x:c>
      <x:c r="J12" s="553">
        <x:v>8</x:v>
      </x:c>
      <x:c r="K12" s="553">
        <x:v>9</x:v>
      </x:c>
      <x:c r="L12" s="553">
        <x:v>10</x:v>
      </x:c>
      <x:c r="M12" s="553">
        <x:v>11</x:v>
      </x:c>
      <x:c r="N12" s="553">
        <x:v>12</x:v>
      </x:c>
      <x:c r="O12" s="553" t="s">
        <x:v>1206</x:v>
      </x:c>
    </x:row>
    <x:row r="13" spans="2:15" ht="15" customHeight="1">
      <x:c r="B13" s="790" t="s">
        <x:v>1126</x:v>
      </x:c>
      <x:c r="C13" s="550">
        <x:v>76562348.430619985</x:v>
      </x:c>
      <x:c r="D13" s="550">
        <x:v>64516794.059223533</x:v>
      </x:c>
      <x:c r="E13" s="550">
        <x:v>89716997.627546713</x:v>
      </x:c>
      <x:c r="F13" s="550">
        <x:v>64444248.693688989</x:v>
      </x:c>
      <x:c r="G13" s="550">
        <x:v>92953303.526523128</x:v>
      </x:c>
      <x:c r="H13" s="550">
        <x:v>97514028.542920664</x:v>
      </x:c>
      <x:c r="I13" s="550">
        <x:v>91156054.487574503</x:v>
      </x:c>
      <x:c r="J13" s="550">
        <x:v>89069194.918328762</x:v>
      </x:c>
      <x:c r="K13" s="550">
        <x:v>87235084.133122519</x:v>
      </x:c>
      <x:c r="L13" s="550">
        <x:v>69104479.57764557</x:v>
      </x:c>
      <x:c r="M13" s="550">
        <x:v>71119933.728570297</x:v>
      </x:c>
      <x:c r="N13" s="550">
        <x:f>+SUM(N14:N17)</x:f>
        <x:v>0</x:v>
      </x:c>
      <x:c r="O13" s="550">
        <x:f>SUM(C13:N13)</x:f>
        <x:v>893392467.72576463</x:v>
      </x:c>
    </x:row>
    <x:row r="14" spans="2:15" ht="15" customHeight="1">
      <x:c r="B14" s="790" t="s">
        <x:v>135</x:v>
      </x:c>
      <x:c r="C14" s="550">
        <x:v>782600.82</x:v>
      </x:c>
      <x:c r="D14" s="550">
        <x:v>1366949.76</x:v>
      </x:c>
      <x:c r="E14" s="550">
        <x:v>1022628.98</x:v>
      </x:c>
      <x:c r="F14" s="550">
        <x:v>575631</x:v>
      </x:c>
      <x:c r="G14" s="550">
        <x:v>337205.87</x:v>
      </x:c>
      <x:c r="H14" s="550">
        <x:v>98637.16</x:v>
      </x:c>
      <x:c r="I14" s="550">
        <x:v>2144105.21</x:v>
      </x:c>
      <x:c r="J14" s="550">
        <x:v>1002448.52</x:v>
      </x:c>
      <x:c r="K14" s="550">
        <x:v>691265.40000000037</x:v>
      </x:c>
      <x:c r="L14" s="550">
        <x:v>1292378.27</x:v>
      </x:c>
      <x:c r="M14" s="550">
        <x:v>864445</x:v>
      </x:c>
      <x:c r="N14" s="550"/>
      <x:c r="O14" s="550">
        <x:f>SUM(C14:N14)</x:f>
        <x:v>10178295.99</x:v>
      </x:c>
    </x:row>
    <x:row r="15" spans="2:15" ht="15" customHeight="1">
      <x:c r="B15" s="575"/>
      <x:c r="C15" s="662">
        <x:f>+C14/C13</x:f>
        <x:v>1.0221745231720324E-2</x:v>
      </x:c>
      <x:c r="D15" s="662">
        <x:f t="shared" ref="D15" si="1">+D14/D13</x:f>
        <x:v>2.1187502880958425E-2</x:v>
      </x:c>
      <x:c r="E15" s="662">
        <x:f t="shared" ref="E15" si="2">+E14/E13</x:f>
        <x:v>1.1398386114584066E-2</x:v>
      </x:c>
      <x:c r="F15" s="662">
        <x:f t="shared" ref="F15" si="3">+F14/F13</x:f>
        <x:v>8.9322323041741251E-3</x:v>
      </x:c>
      <x:c r="G15" s="662">
        <x:f t="shared" ref="G15" si="4">+G14/G13</x:f>
        <x:v>3.6276910793577367E-3</x:v>
      </x:c>
      <x:c r="H15" s="662">
        <x:f t="shared" ref="H15" si="5">+H14/H13</x:f>
        <x:v>1.0115176398089738E-3</x:v>
      </x:c>
      <x:c r="I15" s="662">
        <x:f t="shared" ref="I15" si="6">+I14/I13</x:f>
        <x:v>2.3521259471495262E-2</x:v>
      </x:c>
      <x:c r="J15" s="662">
        <x:f t="shared" ref="J15" si="7">+J14/J13</x:f>
        <x:v>1.1254716301401249E-2</x:v>
      </x:c>
      <x:c r="K15" s="662">
        <x:f t="shared" ref="K15" si="8">+K14/K13</x:f>
        <x:v>7.9241672873853735E-3</x:v>
      </x:c>
      <x:c r="L15" s="662">
        <x:f t="shared" ref="L15" si="9">+L14/L13</x:f>
        <x:v>1.8701801647285222E-2</x:v>
      </x:c>
      <x:c r="M15" s="662">
        <x:f t="shared" ref="M15" si="10">+M14/M13</x:f>
        <x:v>1.2154749796297057E-2</x:v>
      </x:c>
      <x:c r="N15" s="752"/>
      <x:c r="O15" s="421">
        <x:f>+AVERAGE(C15:N15)</x:f>
        <x:v>1.1812342704951621E-2</x:v>
      </x:c>
    </x:row>
    <x:row r="19" spans="2:14" ht="24.6" customHeight="1">
      <x:c r="B19" s="26" t="s">
        <x:v>1156</x:v>
      </x:c>
    </x:row>
    <x:row r="20" spans="2:14" s="462" customFormat="1" ht="2.4500000000000002" customHeight="1" thickBot="1">
      <x:c r="B20" s="714"/>
      <x:c r="C20" s="714"/>
      <x:c r="D20" s="714"/>
      <x:c r="E20" s="714"/>
      <x:c r="F20" s="614"/>
      <x:c r="G20" s="768"/>
      <x:c r="H20" s="714"/>
    </x:row>
    <x:row r="21" spans="2:14" ht="15" customHeight="1">
      <x:c r="B21" s="551" t="s">
        <x:v>1131</x:v>
      </x:c>
      <x:c r="C21" s="723" t="s">
        <x:v>1132</x:v>
      </x:c>
      <x:c r="D21" s="552" t="s">
        <x:v>1133</x:v>
      </x:c>
      <x:c r="E21" s="655" t="s">
        <x:v>1134</x:v>
      </x:c>
      <x:c r="F21" s="435"/>
      <x:c r="G21" s="435"/>
      <x:c r="J21" s="2"/>
      <x:c r="K21" s="2"/>
    </x:row>
    <x:row r="22" spans="2:14" ht="15" customHeight="1">
      <x:c r="B22" s="442" t="s">
        <x:v>1137</x:v>
      </x:c>
      <x:c r="C22" s="424">
        <x:v>44841</x:v>
      </x:c>
      <x:c r="D22" s="412">
        <x:v>45942</x:v>
      </x:c>
      <x:c r="E22" s="438">
        <x:v>45450</x:v>
      </x:c>
      <x:c r="F22" s="435"/>
      <x:c r="G22" s="435"/>
      <x:c r="J22" s="2"/>
      <x:c r="K22" s="2"/>
    </x:row>
    <x:row r="23" spans="2:14" ht="15" customHeight="1">
      <x:c r="B23" s="442" t="s">
        <x:v>1138</x:v>
      </x:c>
      <x:c r="C23" s="424">
        <x:v>45936</x:v>
      </x:c>
      <x:c r="D23" s="412">
        <x:v>45942</x:v>
      </x:c>
      <x:c r="E23" s="438">
        <x:v>46544</x:v>
      </x:c>
      <x:c r="F23" s="435"/>
      <x:c r="G23" s="435"/>
      <x:c r="J23" s="2"/>
      <x:c r="K23" s="2"/>
    </x:row>
    <x:row r="24" spans="2:14" ht="15" customHeight="1">
      <x:c r="B24" s="442" t="s">
        <x:v>1139</x:v>
      </x:c>
      <x:c r="C24" s="501">
        <x:v>1500000</x:v>
      </x:c>
      <x:c r="D24" s="501">
        <x:v>1500000</x:v>
      </x:c>
      <x:c r="E24" s="613">
        <x:v>1500000</x:v>
      </x:c>
      <x:c r="F24" s="435"/>
      <x:c r="G24" s="435"/>
      <x:c r="J24" s="2"/>
      <x:c r="K24" s="2"/>
    </x:row>
    <x:row r="25" spans="2:14" ht="15" customHeight="1">
      <x:c r="B25" s="442" t="s">
        <x:v>1140</x:v>
      </x:c>
      <x:c r="C25" s="596">
        <x:v>3.6600000000000001E-2</x:v>
      </x:c>
      <x:c r="D25" s="464">
        <x:v>6.0999999999999999E-2</x:v>
      </x:c>
      <x:c r="E25" s="758">
        <x:v>4.5999999999999999E-2</x:v>
      </x:c>
      <x:c r="F25" s="435"/>
      <x:c r="G25" s="435"/>
      <x:c r="J25" s="2"/>
      <x:c r="K25" s="2"/>
    </x:row>
    <x:row r="26" spans="2:14" ht="15" customHeight="1" thickBot="1">
      <x:c r="B26" s="502" t="s">
        <x:v>1141</x:v>
      </x:c>
      <x:c r="C26" s="660">
        <x:f>C24*C25*1</x:f>
        <x:v>54900</x:v>
      </x:c>
      <x:c r="D26" s="485">
        <x:f>+D24*D25</x:f>
        <x:v>91500</x:v>
      </x:c>
      <x:c r="E26" s="616">
        <x:f t="shared" ref="E26" si="11">E24*E25*1</x:f>
        <x:v>69000</x:v>
      </x:c>
      <x:c r="F26" s="435"/>
      <x:c r="G26" s="435"/>
      <x:c r="J26" s="2"/>
      <x:c r="K26" s="2"/>
    </x:row>
    <x:row r="27" spans="2:14" ht="15" customHeight="1"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spans="2:14" ht="15" customHeight="1">
      <x:c r="B28" s="1447" t="s">
        <x:v>1142</x:v>
      </x:c>
      <x:c r="C28" s="694"/>
      <x:c r="D28" s="694"/>
      <x:c r="E28" s="755" t="s">
        <x:v>1143</x:v>
      </x:c>
      <x:c r="F28" s="654" t="s">
        <x:v>1144</x:v>
      </x:c>
      <x:c r="G28" s="767" t="s">
        <x:v>1145</x:v>
      </x:c>
      <x:c r="H28" s="767" t="s">
        <x:v>1146</x:v>
      </x:c>
      <x:c r="I28" s="767" t="s">
        <x:v>1147</x:v>
      </x:c>
      <x:c r="J28" s="767" t="s">
        <x:v>1148</x:v>
      </x:c>
      <x:c r="K28" s="1448" t="s">
        <x:v>1149</x:v>
      </x:c>
      <x:c r="M28" s="1446" t="s">
        <x:v>1130</x:v>
      </x:c>
      <x:c r="N28" s="1446"/>
    </x:row>
    <x:row r="29" spans="2:14" ht="15" customHeight="1">
      <x:c r="B29" s="1447" t="s">
        <x:v>1252</x:v>
      </x:c>
      <x:c r="C29" s="1449" t="s">
        <x:v>1150</x:v>
      </x:c>
      <x:c r="D29" s="711" t="s">
        <x:v>162</x:v>
      </x:c>
      <x:c r="E29" s="576" t="s">
        <x:v>1151</x:v>
      </x:c>
      <x:c r="F29" s="737"/>
      <x:c r="G29" s="737"/>
      <x:c r="H29" s="737"/>
      <x:c r="I29" s="737"/>
      <x:c r="J29" s="419"/>
      <x:c r="K29" s="1448"/>
      <x:c r="M29" s="709" t="s">
        <x:v>1135</x:v>
      </x:c>
      <x:c r="N29" s="709" t="s">
        <x:v>1136</x:v>
      </x:c>
    </x:row>
    <x:row r="30" spans="2:14" ht="15" customHeight="1">
      <x:c r="B30" s="1447"/>
      <x:c r="C30" s="1449"/>
      <x:c r="D30" s="711" t="s">
        <x:v>1152</x:v>
      </x:c>
      <x:c r="E30" s="598" t="s">
        <x:v>1153</x:v>
      </x:c>
      <x:c r="F30" s="653"/>
      <x:c r="G30" s="653"/>
      <x:c r="H30" s="653"/>
      <x:c r="I30" s="653"/>
      <x:c r="J30" s="717"/>
      <x:c r="K30" s="1448"/>
      <x:c r="M30" s="424">
        <x:v>44841</x:v>
      </x:c>
      <x:c r="N30" s="389">
        <x:v>18.559200000000001</x:v>
      </x:c>
    </x:row>
    <x:row r="31" spans="2:14" ht="15" customHeight="1">
      <x:c r="B31" s="1447"/>
      <x:c r="C31" s="389" t="s">
        <x:v>1154</x:v>
      </x:c>
      <x:c r="D31" s="630">
        <x:v>1500000</x:v>
      </x:c>
      <x:c r="E31" s="808">
        <x:f>+(N38-N37)*$D$31</x:f>
        <x:v>2633999.9999999898</x:v>
      </x:c>
      <x:c r="F31" s="808">
        <x:f>+(N39-N38)*$D$31</x:f>
        <x:v>3362400.0000000079</x:v>
      </x:c>
      <x:c r="G31" s="808">
        <x:f>+(N40-N39)*$D$31</x:f>
        <x:v>2519999.9999999995</x:v>
      </x:c>
      <x:c r="H31" s="808">
        <x:f>+(N41-N40)*$D$31</x:f>
        <x:v>2534999.9999999967</x:v>
      </x:c>
      <x:c r="I31" s="808">
        <x:f>+(N42-N41)*$D$31</x:f>
        <x:v>2099999.9999999977</x:v>
      </x:c>
      <x:c r="J31" s="808">
        <x:f>+(N43-N42)*$D$31</x:f>
        <x:v>1965000.0000000035</x:v>
      </x:c>
      <x:c r="K31" s="691">
        <x:f>+SUM(G31:J31)</x:f>
        <x:v>9119999.9999999981</x:v>
      </x:c>
      <x:c r="M31" s="424">
        <x:v>44926</x:v>
      </x:c>
      <x:c r="N31" s="389">
        <x:v>18.6983</x:v>
      </x:c>
    </x:row>
    <x:row r="32" spans="2:14" ht="15" customHeight="1">
      <x:c r="B32" s="1447"/>
      <x:c r="C32" s="389" t="s">
        <x:v>1155</x:v>
      </x:c>
      <x:c r="D32" s="630">
        <x:v>1500000</x:v>
      </x:c>
      <x:c r="E32" s="808">
        <x:f>+(N38-N37)*$D$32</x:f>
        <x:v>2633999.9999999898</x:v>
      </x:c>
      <x:c r="F32" s="808">
        <x:f>+(N39-N38)*$D$32</x:f>
        <x:v>3362400.0000000079</x:v>
      </x:c>
      <x:c r="G32" s="808">
        <x:f>+(N40-N39)*$D$32</x:f>
        <x:v>2519999.9999999995</x:v>
      </x:c>
      <x:c r="H32" s="808">
        <x:f>+(N41-N40)*$D$32</x:f>
        <x:v>2534999.9999999967</x:v>
      </x:c>
      <x:c r="I32" s="808">
        <x:f>+(N42-N41)*$D$32</x:f>
        <x:v>2099999.9999999977</x:v>
      </x:c>
      <x:c r="J32" s="808">
        <x:f>+(N43-N42)*$D$32</x:f>
        <x:v>1965000.0000000035</x:v>
      </x:c>
      <x:c r="K32" s="691">
        <x:f>+SUM(G32:J32)</x:f>
        <x:v>9119999.9999999981</x:v>
      </x:c>
      <x:c r="M32" s="424">
        <x:v>45291</x:v>
      </x:c>
      <x:c r="N32" s="389">
        <x:v>29.438199999999998</x:v>
      </x:c>
    </x:row>
    <x:row r="33" spans="13:14" ht="15" customHeight="1">
      <x:c r="M33" s="424">
        <x:v>45450</x:v>
      </x:c>
      <x:c r="N33" s="389">
        <x:v>32.192300000000003</x:v>
      </x:c>
    </x:row>
    <x:row r="34" spans="13:14" ht="15" customHeight="1">
      <x:c r="M34" s="424">
        <x:v>45467</x:v>
      </x:c>
      <x:c r="N34" s="389">
        <x:v>32.8078</x:v>
      </x:c>
    </x:row>
    <x:row r="35" spans="13:14" ht="15" customHeight="1">
      <x:c r="M35" s="424">
        <x:v>45657</x:v>
      </x:c>
      <x:c r="N35" s="389">
        <x:v>35.280299999999997</x:v>
      </x:c>
    </x:row>
    <x:row r="36" spans="13:14" ht="15" customHeight="1">
      <x:c r="M36" s="424">
        <x:v>45777</x:v>
      </x:c>
      <x:c r="N36" s="389">
        <x:v>38.368400000000001</x:v>
      </x:c>
    </x:row>
    <x:row r="37" spans="13:14" ht="15" customHeight="1">
      <x:c r="M37" s="424">
        <x:v>45838</x:v>
      </x:c>
      <x:c r="N37" s="389">
        <x:v>39.742400000000004</x:v>
      </x:c>
    </x:row>
    <x:row r="38" spans="13:14" ht="15" customHeight="1">
      <x:c r="M38" s="424">
        <x:v>45930</x:v>
      </x:c>
      <x:c r="N38" s="389">
        <x:v>41.498399999999997</x:v>
      </x:c>
    </x:row>
    <x:row r="39" spans="13:14" ht="15" customHeight="1">
      <x:c r="M39" s="695">
        <x:v>46022</x:v>
      </x:c>
      <x:c r="N39" s="573">
        <x:v>43.74</x:v>
      </x:c>
    </x:row>
    <x:row r="40" spans="13:14" ht="15" customHeight="1">
      <x:c r="M40" s="695">
        <x:v>46112</x:v>
      </x:c>
      <x:c r="N40" s="573">
        <x:v>45.42</x:v>
      </x:c>
    </x:row>
    <x:row r="41" spans="13:14" ht="15" customHeight="1">
      <x:c r="M41" s="695">
        <x:v>46203</x:v>
      </x:c>
      <x:c r="N41" s="573">
        <x:v>47.11</x:v>
      </x:c>
    </x:row>
    <x:row r="42" spans="13:14" ht="15" customHeight="1">
      <x:c r="M42" s="695">
        <x:v>46295</x:v>
      </x:c>
      <x:c r="N42" s="573">
        <x:v>48.51</x:v>
      </x:c>
    </x:row>
    <x:row r="43" spans="13:14" ht="15" customHeight="1">
      <x:c r="M43" s="695">
        <x:v>46387</x:v>
      </x:c>
      <x:c r="N43" s="573">
        <x:v>49.82</x:v>
      </x:c>
    </x:row>
  </x:sheetData>
  <x:mergeCells count="4">
    <x:mergeCell ref="M28:N28"/>
    <x:mergeCell ref="B28:B32"/>
    <x:mergeCell ref="K28:K30"/>
    <x:mergeCell ref="C29:C30"/>
  </x:mergeCells>
  <x:phoneticPr fontId="3" type="noConversion"/>
  <x:pageMargins left="0.7" right="0.7" top="0.75" bottom="0.75" header="0.3" footer="0.3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8450c8b-69af-46ef-b020-9f342a9441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C48EED396788249BB0E1DB38EC6BA6D" ma:contentTypeVersion="9" ma:contentTypeDescription="새 문서를 만듭니다." ma:contentTypeScope="" ma:versionID="9f6e2334658423b236b6949b17f5b5ff">
  <xsd:schema xmlns:xsd="http://www.w3.org/2001/XMLSchema" xmlns:xs="http://www.w3.org/2001/XMLSchema" xmlns:p="http://schemas.microsoft.com/office/2006/metadata/properties" xmlns:ns2="e8450c8b-69af-46ef-b020-9f342a944101" targetNamespace="http://schemas.microsoft.com/office/2006/metadata/properties" ma:root="true" ma:fieldsID="682194e653a89da4ac210ce0354bb898" ns2:_="">
    <xsd:import namespace="e8450c8b-69af-46ef-b020-9f342a9441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50c8b-69af-46ef-b020-9f342a94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사인 오프 상태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0F5A07-C5EB-48FD-B4C5-AF749E23BD9D}">
  <ds:schemaRefs>
    <ds:schemaRef ds:uri="http://schemas.microsoft.com/office/2006/metadata/properties"/>
    <ds:schemaRef ds:uri="http://schemas.microsoft.com/office/infopath/2007/PartnerControls"/>
    <ds:schemaRef ds:uri="e8450c8b-69af-46ef-b020-9f342a944101"/>
  </ds:schemaRefs>
</ds:datastoreItem>
</file>

<file path=customXml/itemProps2.xml><?xml version="1.0" encoding="utf-8"?>
<ds:datastoreItem xmlns:ds="http://schemas.openxmlformats.org/officeDocument/2006/customXml" ds:itemID="{D6DCA354-3F0D-4E81-9D46-59272B2BD7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CB61CA-8224-4428-B970-270E01BA30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450c8b-69af-46ef-b020-9f342a9441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bb2a0ad-c6f0-41b0-b595-1248caa91295}" enabled="1" method="Privileged" siteId="{1757bd3c-a2e2-4dd3-9a67-139612e546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 지정된 범위</vt:lpstr>
      </vt:variant>
      <vt:variant>
        <vt:i4>1</vt:i4>
      </vt:variant>
    </vt:vector>
  </HeadingPairs>
  <TitlesOfParts>
    <vt:vector size="20" baseType="lpstr">
      <vt:lpstr>Exchange Rate</vt:lpstr>
      <vt:lpstr>Summary</vt:lpstr>
      <vt:lpstr>26 Detail</vt:lpstr>
      <vt:lpstr>1. Sales</vt:lpstr>
      <vt:lpstr>2. Service</vt:lpstr>
      <vt:lpstr>3. HR</vt:lpstr>
      <vt:lpstr>4. Salary</vt:lpstr>
      <vt:lpstr>5. Social Benefit</vt:lpstr>
      <vt:lpstr>6. Social Benefit-2</vt:lpstr>
      <vt:lpstr>7. Commucation </vt:lpstr>
      <vt:lpstr>8. Export, Import1</vt:lpstr>
      <vt:lpstr>9.Transportation</vt:lpstr>
      <vt:lpstr>10. Warehouse</vt:lpstr>
      <vt:lpstr>11. Trip</vt:lpstr>
      <vt:lpstr>12. Loan</vt:lpstr>
      <vt:lpstr>13. Depreciation</vt:lpstr>
      <vt:lpstr>14. Training</vt:lpstr>
      <vt:lpstr>15. Test, Royalty </vt:lpstr>
      <vt:lpstr>16. non operational</vt:lpstr>
      <vt:lpstr>'3. HR'!Print_Area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이수형 Deputy General Manager [Lee Soo Hyung]</dc:creator>
  <cp:lastModifiedBy>고태호 선임매니저 [Tae Ho Goh]</cp:lastModifiedBy>
  <dcterms:created xsi:type="dcterms:W3CDTF">2025-11-18T12:46:10Z</dcterms:created>
  <dcterms:modified xsi:type="dcterms:W3CDTF">2026-02-03T23:56:12Z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0x0101004C48EED396788249BB0E1DB38EC6BA6D</vt:lpwstr>
  </property>
</Properties>
</file>