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bwal\VSCode\KiCAD\motion-sensor-hardware\Calculations\"/>
    </mc:Choice>
  </mc:AlternateContent>
  <xr:revisionPtr revIDLastSave="0" documentId="8_{2F516B2C-F1E2-41CF-86C1-5F8232231F0F}" xr6:coauthVersionLast="47" xr6:coauthVersionMax="47" xr10:uidLastSave="{00000000-0000-0000-0000-000000000000}"/>
  <bookViews>
    <workbookView xWindow="37380" yWindow="855" windowWidth="24840" windowHeight="18945" xr2:uid="{00000000-000D-0000-FFFF-FFFF00000000}"/>
  </bookViews>
  <sheets>
    <sheet name="Power Loss" sheetId="1" r:id="rId1"/>
    <sheet name="Efficiency Summary" sheetId="2" r:id="rId2"/>
  </sheets>
  <definedNames>
    <definedName name="_Cap1">#REF!</definedName>
    <definedName name="_cap2">#REF!</definedName>
    <definedName name="_Cfb1">#REF!</definedName>
    <definedName name="_Cfb2">#REF!</definedName>
    <definedName name="_res1">#REF!</definedName>
    <definedName name="_Rfb1">#REF!</definedName>
    <definedName name="_Rfb2">#REF!</definedName>
    <definedName name="Cap">'Power Loss'!$B$32</definedName>
    <definedName name="D">'Power Loss'!$F$19</definedName>
    <definedName name="DCR">'Power Loss'!$B$28</definedName>
    <definedName name="Dmax">#REF!</definedName>
    <definedName name="EA_BW">#REF!</definedName>
    <definedName name="EA_DC">#REF!</definedName>
    <definedName name="Efficiency">'Power Loss'!$B$96</definedName>
    <definedName name="ESR">'Power Loss'!$B$33</definedName>
    <definedName name="F0">#REF!</definedName>
    <definedName name="Fc">#REF!</definedName>
    <definedName name="Fm">#REF!</definedName>
    <definedName name="Fs">'Power Loss'!$B$18</definedName>
    <definedName name="Fstart">#REF!</definedName>
    <definedName name="Fstep">#REF!</definedName>
    <definedName name="Fstop">#REF!</definedName>
    <definedName name="Gdo">#REF!</definedName>
    <definedName name="Il_rms">'Power Loss'!$F$23</definedName>
    <definedName name="Imax">'Efficiency Summary'!$B$10</definedName>
    <definedName name="Imin">'Efficiency Summary'!$B$9</definedName>
    <definedName name="Iout">'Power Loss'!$B$21</definedName>
    <definedName name="Irip">'Power Loss'!$F$26</definedName>
    <definedName name="Iu_rms">'Power Loss'!$F$22</definedName>
    <definedName name="LIR">'Power Loss'!$B$24</definedName>
    <definedName name="Lout">'Power Loss'!$B$27</definedName>
    <definedName name="ncap">'Power Loss'!$B$31</definedName>
    <definedName name="Q">#REF!</definedName>
    <definedName name="Qn">#REF!</definedName>
    <definedName name="Roerr">#REF!</definedName>
    <definedName name="Ron_l">'Power Loss'!$B$63</definedName>
    <definedName name="Ron_u">'Power Loss'!$B$46</definedName>
    <definedName name="Rout">'Power Loss'!$F$20</definedName>
    <definedName name="RT">#REF!</definedName>
    <definedName name="Se">#REF!</definedName>
    <definedName name="Sn">#REF!</definedName>
    <definedName name="Step">#REF!</definedName>
    <definedName name="Tloss">'Power Loss'!$B$95</definedName>
    <definedName name="VFB">#REF!</definedName>
    <definedName name="Vin">'Power Loss'!$B$19</definedName>
    <definedName name="Vout">'Power Loss'!$B$20</definedName>
    <definedName name="w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67" i="1"/>
  <c r="E51" i="1"/>
  <c r="E50" i="1"/>
  <c r="F32" i="1"/>
  <c r="F35" i="1" l="1"/>
  <c r="B39" i="1"/>
  <c r="B63" i="1" s="1"/>
  <c r="B36" i="1"/>
  <c r="B46" i="1" s="1"/>
  <c r="A27" i="1" l="1"/>
  <c r="B18" i="1" l="1"/>
  <c r="A19" i="1" l="1"/>
  <c r="A18" i="1"/>
  <c r="F34" i="1" l="1"/>
  <c r="L144" i="2" l="1"/>
  <c r="D144" i="2"/>
  <c r="C144" i="2"/>
  <c r="B144" i="2"/>
  <c r="L143" i="2"/>
  <c r="D143" i="2"/>
  <c r="C143" i="2"/>
  <c r="L142" i="2"/>
  <c r="D142" i="2"/>
  <c r="C142" i="2"/>
  <c r="L141" i="2"/>
  <c r="D141" i="2"/>
  <c r="C141" i="2"/>
  <c r="L140" i="2"/>
  <c r="D140" i="2"/>
  <c r="C140" i="2"/>
  <c r="L139" i="2"/>
  <c r="D139" i="2"/>
  <c r="C139" i="2"/>
  <c r="L138" i="2"/>
  <c r="D138" i="2"/>
  <c r="C138" i="2"/>
  <c r="L137" i="2"/>
  <c r="D137" i="2"/>
  <c r="C137" i="2"/>
  <c r="L136" i="2"/>
  <c r="D136" i="2"/>
  <c r="C136" i="2"/>
  <c r="L135" i="2"/>
  <c r="D135" i="2"/>
  <c r="C135" i="2"/>
  <c r="L134" i="2"/>
  <c r="D134" i="2"/>
  <c r="C134" i="2"/>
  <c r="L133" i="2"/>
  <c r="D133" i="2"/>
  <c r="C133" i="2"/>
  <c r="L132" i="2"/>
  <c r="D132" i="2"/>
  <c r="C132" i="2"/>
  <c r="L131" i="2"/>
  <c r="D131" i="2"/>
  <c r="C131" i="2"/>
  <c r="L130" i="2"/>
  <c r="D130" i="2"/>
  <c r="C130" i="2"/>
  <c r="L129" i="2"/>
  <c r="D129" i="2"/>
  <c r="C129" i="2"/>
  <c r="L128" i="2"/>
  <c r="D128" i="2"/>
  <c r="C128" i="2"/>
  <c r="L127" i="2"/>
  <c r="D127" i="2"/>
  <c r="C127" i="2"/>
  <c r="L126" i="2"/>
  <c r="D126" i="2"/>
  <c r="C126" i="2"/>
  <c r="L125" i="2"/>
  <c r="D125" i="2"/>
  <c r="C125" i="2"/>
  <c r="L124" i="2"/>
  <c r="D124" i="2"/>
  <c r="C124" i="2"/>
  <c r="L123" i="2"/>
  <c r="D123" i="2"/>
  <c r="C123" i="2"/>
  <c r="L122" i="2"/>
  <c r="D122" i="2"/>
  <c r="C122" i="2"/>
  <c r="L121" i="2"/>
  <c r="D121" i="2"/>
  <c r="C121" i="2"/>
  <c r="L120" i="2"/>
  <c r="D120" i="2"/>
  <c r="C120" i="2"/>
  <c r="L119" i="2"/>
  <c r="D119" i="2"/>
  <c r="C119" i="2"/>
  <c r="L118" i="2"/>
  <c r="D118" i="2"/>
  <c r="C118" i="2"/>
  <c r="L117" i="2"/>
  <c r="D117" i="2"/>
  <c r="C117" i="2"/>
  <c r="L116" i="2"/>
  <c r="D116" i="2"/>
  <c r="C116" i="2"/>
  <c r="L115" i="2"/>
  <c r="D115" i="2"/>
  <c r="C115" i="2"/>
  <c r="L114" i="2"/>
  <c r="D114" i="2"/>
  <c r="C114" i="2"/>
  <c r="L113" i="2"/>
  <c r="D113" i="2"/>
  <c r="C113" i="2"/>
  <c r="L112" i="2"/>
  <c r="D112" i="2"/>
  <c r="C112" i="2"/>
  <c r="B112" i="2"/>
  <c r="I112" i="2" s="1"/>
  <c r="L111" i="2"/>
  <c r="D111" i="2"/>
  <c r="C111" i="2"/>
  <c r="L110" i="2"/>
  <c r="D110" i="2"/>
  <c r="C110" i="2"/>
  <c r="L109" i="2"/>
  <c r="D109" i="2"/>
  <c r="C109" i="2"/>
  <c r="L108" i="2"/>
  <c r="D108" i="2"/>
  <c r="C108" i="2"/>
  <c r="L107" i="2"/>
  <c r="D107" i="2"/>
  <c r="C107" i="2"/>
  <c r="L106" i="2"/>
  <c r="D106" i="2"/>
  <c r="C106" i="2"/>
  <c r="L105" i="2"/>
  <c r="D105" i="2"/>
  <c r="C105" i="2"/>
  <c r="L104" i="2"/>
  <c r="D104" i="2"/>
  <c r="C104" i="2"/>
  <c r="L103" i="2"/>
  <c r="D103" i="2"/>
  <c r="C103" i="2"/>
  <c r="L102" i="2"/>
  <c r="I102" i="2"/>
  <c r="D102" i="2"/>
  <c r="C102" i="2"/>
  <c r="B102" i="2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N101" i="2"/>
  <c r="L101" i="2"/>
  <c r="D101" i="2"/>
  <c r="C101" i="2"/>
  <c r="B101" i="2"/>
  <c r="G101" i="2" s="1"/>
  <c r="B94" i="2"/>
  <c r="B93" i="2"/>
  <c r="B92" i="2"/>
  <c r="B90" i="2"/>
  <c r="B88" i="2"/>
  <c r="B87" i="2"/>
  <c r="B86" i="2"/>
  <c r="B85" i="2"/>
  <c r="B82" i="2"/>
  <c r="B81" i="2"/>
  <c r="B78" i="2"/>
  <c r="D72" i="2"/>
  <c r="C44" i="2"/>
  <c r="N13" i="2"/>
  <c r="A13" i="2"/>
  <c r="D44" i="2" s="1"/>
  <c r="B10" i="2"/>
  <c r="N41" i="2" s="1"/>
  <c r="B80" i="1"/>
  <c r="B83" i="1" s="1"/>
  <c r="B79" i="1"/>
  <c r="B82" i="1" s="1"/>
  <c r="B74" i="1"/>
  <c r="B68" i="1"/>
  <c r="B75" i="1" s="1"/>
  <c r="B67" i="1"/>
  <c r="B58" i="1"/>
  <c r="B51" i="1"/>
  <c r="B59" i="1" s="1"/>
  <c r="B50" i="1"/>
  <c r="F26" i="1"/>
  <c r="B88" i="1" s="1"/>
  <c r="F20" i="1"/>
  <c r="F19" i="1"/>
  <c r="B26" i="1" s="1"/>
  <c r="B119" i="2" l="1"/>
  <c r="B133" i="2"/>
  <c r="P102" i="2"/>
  <c r="O102" i="2"/>
  <c r="J102" i="2"/>
  <c r="H102" i="2"/>
  <c r="B114" i="2"/>
  <c r="B126" i="2"/>
  <c r="B135" i="2"/>
  <c r="B137" i="2"/>
  <c r="B139" i="2"/>
  <c r="B141" i="2"/>
  <c r="B143" i="2"/>
  <c r="G112" i="2"/>
  <c r="B128" i="2"/>
  <c r="G102" i="2"/>
  <c r="B111" i="2"/>
  <c r="B123" i="2"/>
  <c r="B109" i="2"/>
  <c r="B104" i="2"/>
  <c r="F104" i="2" s="1"/>
  <c r="B130" i="2"/>
  <c r="M130" i="2" s="1"/>
  <c r="B132" i="2"/>
  <c r="B121" i="2"/>
  <c r="F133" i="2"/>
  <c r="B113" i="2"/>
  <c r="B125" i="2"/>
  <c r="B134" i="2"/>
  <c r="B131" i="2"/>
  <c r="B107" i="2"/>
  <c r="B116" i="2"/>
  <c r="B118" i="2"/>
  <c r="N102" i="2"/>
  <c r="B108" i="2"/>
  <c r="M108" i="2" s="1"/>
  <c r="B120" i="2"/>
  <c r="B136" i="2"/>
  <c r="B138" i="2"/>
  <c r="B140" i="2"/>
  <c r="B142" i="2"/>
  <c r="P144" i="2"/>
  <c r="O144" i="2"/>
  <c r="N144" i="2"/>
  <c r="J144" i="2"/>
  <c r="I144" i="2"/>
  <c r="H144" i="2"/>
  <c r="G144" i="2"/>
  <c r="B103" i="2"/>
  <c r="B115" i="2"/>
  <c r="B127" i="2"/>
  <c r="P112" i="2"/>
  <c r="J112" i="2"/>
  <c r="H112" i="2"/>
  <c r="O112" i="2"/>
  <c r="B110" i="2"/>
  <c r="B122" i="2"/>
  <c r="B124" i="2"/>
  <c r="P101" i="2"/>
  <c r="J101" i="2"/>
  <c r="H101" i="2"/>
  <c r="O101" i="2"/>
  <c r="B106" i="2"/>
  <c r="N112" i="2"/>
  <c r="I101" i="2"/>
  <c r="B105" i="2"/>
  <c r="B117" i="2"/>
  <c r="B129" i="2"/>
  <c r="E101" i="2"/>
  <c r="E103" i="2"/>
  <c r="E104" i="2"/>
  <c r="E105" i="2"/>
  <c r="E113" i="2"/>
  <c r="E116" i="2"/>
  <c r="E117" i="2"/>
  <c r="E118" i="2"/>
  <c r="E119" i="2"/>
  <c r="E120" i="2"/>
  <c r="E129" i="2"/>
  <c r="E130" i="2"/>
  <c r="E132" i="2"/>
  <c r="E133" i="2"/>
  <c r="B83" i="2"/>
  <c r="A14" i="2"/>
  <c r="D45" i="2" s="1"/>
  <c r="E45" i="2" s="1"/>
  <c r="H14" i="2" s="1"/>
  <c r="A18" i="2"/>
  <c r="D49" i="2" s="1"/>
  <c r="E49" i="2" s="1"/>
  <c r="G49" i="2" s="1"/>
  <c r="A22" i="2"/>
  <c r="D53" i="2" s="1"/>
  <c r="E53" i="2" s="1"/>
  <c r="A26" i="2"/>
  <c r="D56" i="2" s="1"/>
  <c r="E56" i="2" s="1"/>
  <c r="A30" i="2"/>
  <c r="D60" i="2" s="1"/>
  <c r="E60" i="2" s="1"/>
  <c r="H30" i="2" s="1"/>
  <c r="A34" i="2"/>
  <c r="D64" i="2" s="1"/>
  <c r="E64" i="2" s="1"/>
  <c r="H34" i="2" s="1"/>
  <c r="A38" i="2"/>
  <c r="D68" i="2" s="1"/>
  <c r="E68" i="2" s="1"/>
  <c r="H38" i="2" s="1"/>
  <c r="C46" i="2"/>
  <c r="C48" i="2"/>
  <c r="C52" i="2"/>
  <c r="C56" i="2"/>
  <c r="C60" i="2"/>
  <c r="C66" i="2"/>
  <c r="C72" i="2"/>
  <c r="I10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A16" i="2"/>
  <c r="D47" i="2" s="1"/>
  <c r="E47" i="2" s="1"/>
  <c r="H16" i="2" s="1"/>
  <c r="A20" i="2"/>
  <c r="D51" i="2" s="1"/>
  <c r="E51" i="2" s="1"/>
  <c r="H20" i="2" s="1"/>
  <c r="A24" i="2"/>
  <c r="D54" i="2" s="1"/>
  <c r="E54" i="2" s="1"/>
  <c r="H24" i="2" s="1"/>
  <c r="A28" i="2"/>
  <c r="D58" i="2" s="1"/>
  <c r="E58" i="2" s="1"/>
  <c r="H28" i="2" s="1"/>
  <c r="A32" i="2"/>
  <c r="D62" i="2" s="1"/>
  <c r="E62" i="2" s="1"/>
  <c r="A36" i="2"/>
  <c r="D66" i="2" s="1"/>
  <c r="E66" i="2" s="1"/>
  <c r="H36" i="2" s="1"/>
  <c r="A40" i="2"/>
  <c r="D70" i="2" s="1"/>
  <c r="E70" i="2" s="1"/>
  <c r="H40" i="2" s="1"/>
  <c r="C50" i="2"/>
  <c r="C54" i="2"/>
  <c r="C58" i="2"/>
  <c r="C62" i="2"/>
  <c r="C64" i="2"/>
  <c r="C68" i="2"/>
  <c r="C70" i="2"/>
  <c r="A15" i="2"/>
  <c r="D46" i="2" s="1"/>
  <c r="E46" i="2" s="1"/>
  <c r="F46" i="2" s="1"/>
  <c r="A17" i="2"/>
  <c r="D48" i="2" s="1"/>
  <c r="E48" i="2" s="1"/>
  <c r="H17" i="2" s="1"/>
  <c r="A19" i="2"/>
  <c r="D50" i="2" s="1"/>
  <c r="E50" i="2" s="1"/>
  <c r="H19" i="2" s="1"/>
  <c r="A21" i="2"/>
  <c r="D52" i="2" s="1"/>
  <c r="E52" i="2" s="1"/>
  <c r="H21" i="2" s="1"/>
  <c r="A23" i="2"/>
  <c r="A25" i="2"/>
  <c r="D55" i="2" s="1"/>
  <c r="E55" i="2" s="1"/>
  <c r="H25" i="2" s="1"/>
  <c r="A27" i="2"/>
  <c r="D57" i="2" s="1"/>
  <c r="E57" i="2" s="1"/>
  <c r="H27" i="2" s="1"/>
  <c r="A29" i="2"/>
  <c r="D59" i="2" s="1"/>
  <c r="E59" i="2" s="1"/>
  <c r="H29" i="2" s="1"/>
  <c r="A31" i="2"/>
  <c r="D61" i="2" s="1"/>
  <c r="E61" i="2" s="1"/>
  <c r="A33" i="2"/>
  <c r="D63" i="2" s="1"/>
  <c r="E63" i="2" s="1"/>
  <c r="H33" i="2" s="1"/>
  <c r="A35" i="2"/>
  <c r="D65" i="2" s="1"/>
  <c r="E65" i="2" s="1"/>
  <c r="G65" i="2" s="1"/>
  <c r="A37" i="2"/>
  <c r="D67" i="2" s="1"/>
  <c r="E67" i="2" s="1"/>
  <c r="H37" i="2" s="1"/>
  <c r="A39" i="2"/>
  <c r="D69" i="2" s="1"/>
  <c r="E69" i="2" s="1"/>
  <c r="H39" i="2" s="1"/>
  <c r="A41" i="2"/>
  <c r="D71" i="2" s="1"/>
  <c r="E71" i="2" s="1"/>
  <c r="H41" i="2" s="1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F121" i="2"/>
  <c r="F128" i="2"/>
  <c r="F113" i="2"/>
  <c r="E121" i="2"/>
  <c r="F129" i="2"/>
  <c r="E134" i="2"/>
  <c r="E135" i="2"/>
  <c r="E136" i="2"/>
  <c r="E137" i="2"/>
  <c r="E138" i="2"/>
  <c r="E139" i="2"/>
  <c r="E140" i="2"/>
  <c r="E141" i="2"/>
  <c r="E142" i="2"/>
  <c r="E143" i="2"/>
  <c r="E144" i="2"/>
  <c r="F105" i="2"/>
  <c r="F112" i="2"/>
  <c r="E108" i="2"/>
  <c r="E109" i="2"/>
  <c r="E110" i="2"/>
  <c r="E111" i="2"/>
  <c r="E112" i="2"/>
  <c r="F120" i="2"/>
  <c r="E124" i="2"/>
  <c r="E125" i="2"/>
  <c r="E126" i="2"/>
  <c r="E127" i="2"/>
  <c r="E128" i="2"/>
  <c r="E114" i="2"/>
  <c r="B84" i="1"/>
  <c r="B85" i="1" s="1"/>
  <c r="K141" i="2"/>
  <c r="L30" i="1"/>
  <c r="K114" i="2"/>
  <c r="K128" i="2"/>
  <c r="K135" i="2"/>
  <c r="B56" i="1"/>
  <c r="B89" i="1"/>
  <c r="K31" i="1" s="1"/>
  <c r="B89" i="2"/>
  <c r="E102" i="2"/>
  <c r="E106" i="2"/>
  <c r="K119" i="2"/>
  <c r="K140" i="2"/>
  <c r="M143" i="2"/>
  <c r="K116" i="2"/>
  <c r="K125" i="2"/>
  <c r="F23" i="1"/>
  <c r="B72" i="1" s="1"/>
  <c r="K29" i="1" s="1"/>
  <c r="K102" i="2"/>
  <c r="E122" i="2"/>
  <c r="K129" i="2"/>
  <c r="K138" i="2"/>
  <c r="K143" i="2"/>
  <c r="M101" i="2"/>
  <c r="M124" i="2"/>
  <c r="M133" i="2"/>
  <c r="M144" i="2"/>
  <c r="M109" i="2"/>
  <c r="M121" i="2"/>
  <c r="M136" i="2"/>
  <c r="M142" i="2"/>
  <c r="M102" i="2"/>
  <c r="M107" i="2"/>
  <c r="M112" i="2"/>
  <c r="M116" i="2"/>
  <c r="M118" i="2"/>
  <c r="M120" i="2"/>
  <c r="M122" i="2"/>
  <c r="M127" i="2"/>
  <c r="M134" i="2"/>
  <c r="M138" i="2"/>
  <c r="M105" i="2"/>
  <c r="M111" i="2"/>
  <c r="M115" i="2"/>
  <c r="M117" i="2"/>
  <c r="M119" i="2"/>
  <c r="M131" i="2"/>
  <c r="M106" i="2"/>
  <c r="M113" i="2"/>
  <c r="M128" i="2"/>
  <c r="M129" i="2"/>
  <c r="M132" i="2"/>
  <c r="M140" i="2"/>
  <c r="B91" i="2"/>
  <c r="M103" i="2"/>
  <c r="M110" i="2"/>
  <c r="M114" i="2"/>
  <c r="M123" i="2"/>
  <c r="M125" i="2"/>
  <c r="M137" i="2"/>
  <c r="M139" i="2"/>
  <c r="M141" i="2"/>
  <c r="K107" i="2"/>
  <c r="K122" i="2"/>
  <c r="K124" i="2"/>
  <c r="K127" i="2"/>
  <c r="K131" i="2"/>
  <c r="K137" i="2"/>
  <c r="K101" i="2"/>
  <c r="K103" i="2"/>
  <c r="K109" i="2"/>
  <c r="K112" i="2"/>
  <c r="K113" i="2"/>
  <c r="K115" i="2"/>
  <c r="K118" i="2"/>
  <c r="K134" i="2"/>
  <c r="K136" i="2"/>
  <c r="K139" i="2"/>
  <c r="K142" i="2"/>
  <c r="K144" i="2"/>
  <c r="K104" i="2"/>
  <c r="K105" i="2"/>
  <c r="K110" i="2"/>
  <c r="K106" i="2"/>
  <c r="K108" i="2"/>
  <c r="K111" i="2"/>
  <c r="K117" i="2"/>
  <c r="K120" i="2"/>
  <c r="K121" i="2"/>
  <c r="K123" i="2"/>
  <c r="K126" i="2"/>
  <c r="K132" i="2"/>
  <c r="K133" i="2"/>
  <c r="L31" i="1"/>
  <c r="B57" i="1"/>
  <c r="B73" i="1"/>
  <c r="L29" i="1" s="1"/>
  <c r="E9" i="2"/>
  <c r="F22" i="1"/>
  <c r="B55" i="1" s="1"/>
  <c r="F27" i="1"/>
  <c r="B93" i="1"/>
  <c r="K32" i="1" s="1"/>
  <c r="F143" i="2"/>
  <c r="F139" i="2"/>
  <c r="F131" i="2"/>
  <c r="F127" i="2"/>
  <c r="F123" i="2"/>
  <c r="F119" i="2"/>
  <c r="F115" i="2"/>
  <c r="F111" i="2"/>
  <c r="F107" i="2"/>
  <c r="F103" i="2"/>
  <c r="F142" i="2"/>
  <c r="F138" i="2"/>
  <c r="F134" i="2"/>
  <c r="F126" i="2"/>
  <c r="F122" i="2"/>
  <c r="F118" i="2"/>
  <c r="F114" i="2"/>
  <c r="F110" i="2"/>
  <c r="F106" i="2"/>
  <c r="F102" i="2"/>
  <c r="F144" i="2"/>
  <c r="F140" i="2"/>
  <c r="F136" i="2"/>
  <c r="F132" i="2"/>
  <c r="F125" i="2"/>
  <c r="F124" i="2"/>
  <c r="F117" i="2"/>
  <c r="F116" i="2"/>
  <c r="F109" i="2"/>
  <c r="F108" i="2"/>
  <c r="F101" i="2"/>
  <c r="B84" i="2"/>
  <c r="F141" i="2"/>
  <c r="F18" i="1"/>
  <c r="A20" i="1" s="1"/>
  <c r="E44" i="2"/>
  <c r="H13" i="2" s="1"/>
  <c r="F137" i="2"/>
  <c r="E131" i="2"/>
  <c r="E72" i="2"/>
  <c r="G72" i="2" s="1"/>
  <c r="E107" i="2"/>
  <c r="E115" i="2"/>
  <c r="E123" i="2"/>
  <c r="G54" i="2" l="1"/>
  <c r="P106" i="2"/>
  <c r="J106" i="2"/>
  <c r="H106" i="2"/>
  <c r="O106" i="2"/>
  <c r="I106" i="2"/>
  <c r="G106" i="2"/>
  <c r="N106" i="2"/>
  <c r="P127" i="2"/>
  <c r="J127" i="2"/>
  <c r="H127" i="2"/>
  <c r="O127" i="2"/>
  <c r="N127" i="2"/>
  <c r="I127" i="2"/>
  <c r="G127" i="2"/>
  <c r="P138" i="2"/>
  <c r="N138" i="2"/>
  <c r="J138" i="2"/>
  <c r="H138" i="2"/>
  <c r="O138" i="2"/>
  <c r="G138" i="2"/>
  <c r="I138" i="2"/>
  <c r="P141" i="2"/>
  <c r="J141" i="2"/>
  <c r="H141" i="2"/>
  <c r="O141" i="2"/>
  <c r="N141" i="2"/>
  <c r="I141" i="2"/>
  <c r="G141" i="2"/>
  <c r="P115" i="2"/>
  <c r="J115" i="2"/>
  <c r="H115" i="2"/>
  <c r="O115" i="2"/>
  <c r="N115" i="2"/>
  <c r="I115" i="2"/>
  <c r="G115" i="2"/>
  <c r="P136" i="2"/>
  <c r="N136" i="2"/>
  <c r="J136" i="2"/>
  <c r="H136" i="2"/>
  <c r="O136" i="2"/>
  <c r="G136" i="2"/>
  <c r="I136" i="2"/>
  <c r="P121" i="2"/>
  <c r="J121" i="2"/>
  <c r="H121" i="2"/>
  <c r="O121" i="2"/>
  <c r="G121" i="2"/>
  <c r="N121" i="2"/>
  <c r="I121" i="2"/>
  <c r="P139" i="2"/>
  <c r="J139" i="2"/>
  <c r="H139" i="2"/>
  <c r="O139" i="2"/>
  <c r="N139" i="2"/>
  <c r="I139" i="2"/>
  <c r="G139" i="2"/>
  <c r="F47" i="2"/>
  <c r="P103" i="2"/>
  <c r="O103" i="2"/>
  <c r="J103" i="2"/>
  <c r="H103" i="2"/>
  <c r="N103" i="2"/>
  <c r="G103" i="2"/>
  <c r="I103" i="2"/>
  <c r="P120" i="2"/>
  <c r="J120" i="2"/>
  <c r="H120" i="2"/>
  <c r="O120" i="2"/>
  <c r="G120" i="2"/>
  <c r="I120" i="2"/>
  <c r="N120" i="2"/>
  <c r="P132" i="2"/>
  <c r="J132" i="2"/>
  <c r="H132" i="2"/>
  <c r="O132" i="2"/>
  <c r="I132" i="2"/>
  <c r="G132" i="2"/>
  <c r="N132" i="2"/>
  <c r="P137" i="2"/>
  <c r="J137" i="2"/>
  <c r="H137" i="2"/>
  <c r="O137" i="2"/>
  <c r="N137" i="2"/>
  <c r="I137" i="2"/>
  <c r="G137" i="2"/>
  <c r="P135" i="2"/>
  <c r="J135" i="2"/>
  <c r="H135" i="2"/>
  <c r="O135" i="2"/>
  <c r="N135" i="2"/>
  <c r="I135" i="2"/>
  <c r="G135" i="2"/>
  <c r="P126" i="2"/>
  <c r="J126" i="2"/>
  <c r="H126" i="2"/>
  <c r="O126" i="2"/>
  <c r="I126" i="2"/>
  <c r="N126" i="2"/>
  <c r="G126" i="2"/>
  <c r="M126" i="2"/>
  <c r="P124" i="2"/>
  <c r="J124" i="2"/>
  <c r="H124" i="2"/>
  <c r="O124" i="2"/>
  <c r="G124" i="2"/>
  <c r="N124" i="2"/>
  <c r="I124" i="2"/>
  <c r="P118" i="2"/>
  <c r="O118" i="2"/>
  <c r="J118" i="2"/>
  <c r="H118" i="2"/>
  <c r="I118" i="2"/>
  <c r="G118" i="2"/>
  <c r="N118" i="2"/>
  <c r="P109" i="2"/>
  <c r="J109" i="2"/>
  <c r="H109" i="2"/>
  <c r="O109" i="2"/>
  <c r="N109" i="2"/>
  <c r="G109" i="2"/>
  <c r="I109" i="2"/>
  <c r="P114" i="2"/>
  <c r="J114" i="2"/>
  <c r="H114" i="2"/>
  <c r="O114" i="2"/>
  <c r="I114" i="2"/>
  <c r="N114" i="2"/>
  <c r="G114" i="2"/>
  <c r="P108" i="2"/>
  <c r="J108" i="2"/>
  <c r="Q108" i="2" s="1"/>
  <c r="H108" i="2"/>
  <c r="O108" i="2"/>
  <c r="G108" i="2"/>
  <c r="N108" i="2"/>
  <c r="I108" i="2"/>
  <c r="P104" i="2"/>
  <c r="J104" i="2"/>
  <c r="H104" i="2"/>
  <c r="O104" i="2"/>
  <c r="N104" i="2"/>
  <c r="I104" i="2"/>
  <c r="G104" i="2"/>
  <c r="M135" i="2"/>
  <c r="P122" i="2"/>
  <c r="J122" i="2"/>
  <c r="H122" i="2"/>
  <c r="O122" i="2"/>
  <c r="N122" i="2"/>
  <c r="I122" i="2"/>
  <c r="G122" i="2"/>
  <c r="P116" i="2"/>
  <c r="J116" i="2"/>
  <c r="H116" i="2"/>
  <c r="O116" i="2"/>
  <c r="N116" i="2"/>
  <c r="I116" i="2"/>
  <c r="G116" i="2"/>
  <c r="P123" i="2"/>
  <c r="J123" i="2"/>
  <c r="H123" i="2"/>
  <c r="O123" i="2"/>
  <c r="N123" i="2"/>
  <c r="I123" i="2"/>
  <c r="G123" i="2"/>
  <c r="P129" i="2"/>
  <c r="J129" i="2"/>
  <c r="H129" i="2"/>
  <c r="O129" i="2"/>
  <c r="I129" i="2"/>
  <c r="N129" i="2"/>
  <c r="G129" i="2"/>
  <c r="P110" i="2"/>
  <c r="O110" i="2"/>
  <c r="J110" i="2"/>
  <c r="H110" i="2"/>
  <c r="G110" i="2"/>
  <c r="N110" i="2"/>
  <c r="I110" i="2"/>
  <c r="P107" i="2"/>
  <c r="O107" i="2"/>
  <c r="J107" i="2"/>
  <c r="H107" i="2"/>
  <c r="G107" i="2"/>
  <c r="N107" i="2"/>
  <c r="I107" i="2"/>
  <c r="P111" i="2"/>
  <c r="J111" i="2"/>
  <c r="H111" i="2"/>
  <c r="O111" i="2"/>
  <c r="N111" i="2"/>
  <c r="I111" i="2"/>
  <c r="G111" i="2"/>
  <c r="P130" i="2"/>
  <c r="N130" i="2"/>
  <c r="J130" i="2"/>
  <c r="H130" i="2"/>
  <c r="O130" i="2"/>
  <c r="I130" i="2"/>
  <c r="G130" i="2"/>
  <c r="F130" i="2"/>
  <c r="F135" i="2"/>
  <c r="K130" i="2"/>
  <c r="M104" i="2"/>
  <c r="P117" i="2"/>
  <c r="J117" i="2"/>
  <c r="H117" i="2"/>
  <c r="O117" i="2"/>
  <c r="I117" i="2"/>
  <c r="N117" i="2"/>
  <c r="G117" i="2"/>
  <c r="P131" i="2"/>
  <c r="N131" i="2"/>
  <c r="J131" i="2"/>
  <c r="H131" i="2"/>
  <c r="O131" i="2"/>
  <c r="I131" i="2"/>
  <c r="G131" i="2"/>
  <c r="P105" i="2"/>
  <c r="O105" i="2"/>
  <c r="J105" i="2"/>
  <c r="H105" i="2"/>
  <c r="N105" i="2"/>
  <c r="I105" i="2"/>
  <c r="G105" i="2"/>
  <c r="P134" i="2"/>
  <c r="O134" i="2"/>
  <c r="J134" i="2"/>
  <c r="H134" i="2"/>
  <c r="I134" i="2"/>
  <c r="G134" i="2"/>
  <c r="N134" i="2"/>
  <c r="P128" i="2"/>
  <c r="J128" i="2"/>
  <c r="H128" i="2"/>
  <c r="O128" i="2"/>
  <c r="N128" i="2"/>
  <c r="I128" i="2"/>
  <c r="G128" i="2"/>
  <c r="P142" i="2"/>
  <c r="N142" i="2"/>
  <c r="J142" i="2"/>
  <c r="H142" i="2"/>
  <c r="O142" i="2"/>
  <c r="G142" i="2"/>
  <c r="I142" i="2"/>
  <c r="P125" i="2"/>
  <c r="J125" i="2"/>
  <c r="H125" i="2"/>
  <c r="O125" i="2"/>
  <c r="I125" i="2"/>
  <c r="G125" i="2"/>
  <c r="N125" i="2"/>
  <c r="P133" i="2"/>
  <c r="N133" i="2"/>
  <c r="J133" i="2"/>
  <c r="H133" i="2"/>
  <c r="O133" i="2"/>
  <c r="I133" i="2"/>
  <c r="G133" i="2"/>
  <c r="P140" i="2"/>
  <c r="J140" i="2"/>
  <c r="H140" i="2"/>
  <c r="Q140" i="2" s="1"/>
  <c r="O140" i="2"/>
  <c r="N140" i="2"/>
  <c r="G140" i="2"/>
  <c r="I140" i="2"/>
  <c r="P113" i="2"/>
  <c r="J113" i="2"/>
  <c r="H113" i="2"/>
  <c r="O113" i="2"/>
  <c r="I113" i="2"/>
  <c r="G113" i="2"/>
  <c r="N113" i="2"/>
  <c r="P143" i="2"/>
  <c r="J143" i="2"/>
  <c r="H143" i="2"/>
  <c r="O143" i="2"/>
  <c r="N143" i="2"/>
  <c r="I143" i="2"/>
  <c r="G143" i="2"/>
  <c r="P119" i="2"/>
  <c r="J119" i="2"/>
  <c r="H119" i="2"/>
  <c r="O119" i="2"/>
  <c r="N119" i="2"/>
  <c r="I119" i="2"/>
  <c r="G119" i="2"/>
  <c r="G62" i="2"/>
  <c r="F48" i="2"/>
  <c r="G45" i="2"/>
  <c r="F52" i="2"/>
  <c r="F68" i="2"/>
  <c r="G67" i="2"/>
  <c r="G48" i="2"/>
  <c r="F45" i="2"/>
  <c r="F61" i="2"/>
  <c r="F51" i="2"/>
  <c r="F67" i="2"/>
  <c r="G68" i="2"/>
  <c r="G66" i="2"/>
  <c r="G52" i="2"/>
  <c r="G51" i="2"/>
  <c r="G63" i="2"/>
  <c r="F63" i="2"/>
  <c r="G50" i="2"/>
  <c r="G57" i="2"/>
  <c r="G70" i="2"/>
  <c r="F54" i="2"/>
  <c r="F57" i="2"/>
  <c r="G46" i="2"/>
  <c r="F70" i="2"/>
  <c r="G61" i="2"/>
  <c r="H31" i="2"/>
  <c r="F66" i="2"/>
  <c r="F50" i="2"/>
  <c r="H15" i="2"/>
  <c r="G47" i="2"/>
  <c r="Q114" i="2"/>
  <c r="F60" i="2"/>
  <c r="G59" i="2"/>
  <c r="L28" i="1"/>
  <c r="Q112" i="2"/>
  <c r="B96" i="2"/>
  <c r="B98" i="2" s="1"/>
  <c r="G69" i="2"/>
  <c r="A71" i="2"/>
  <c r="B71" i="2" s="1"/>
  <c r="A67" i="2"/>
  <c r="B67" i="2" s="1"/>
  <c r="A63" i="2"/>
  <c r="B63" i="2" s="1"/>
  <c r="A59" i="2"/>
  <c r="B59" i="2" s="1"/>
  <c r="A55" i="2"/>
  <c r="B55" i="2" s="1"/>
  <c r="A51" i="2"/>
  <c r="B51" i="2" s="1"/>
  <c r="A47" i="2"/>
  <c r="B47" i="2" s="1"/>
  <c r="A53" i="2"/>
  <c r="B53" i="2" s="1"/>
  <c r="A72" i="2"/>
  <c r="B72" i="2" s="1"/>
  <c r="A64" i="2"/>
  <c r="B64" i="2" s="1"/>
  <c r="A56" i="2"/>
  <c r="B56" i="2" s="1"/>
  <c r="A48" i="2"/>
  <c r="B48" i="2" s="1"/>
  <c r="A70" i="2"/>
  <c r="B70" i="2" s="1"/>
  <c r="A66" i="2"/>
  <c r="B66" i="2" s="1"/>
  <c r="A62" i="2"/>
  <c r="B62" i="2" s="1"/>
  <c r="A58" i="2"/>
  <c r="B58" i="2" s="1"/>
  <c r="A54" i="2"/>
  <c r="B54" i="2" s="1"/>
  <c r="A50" i="2"/>
  <c r="B50" i="2" s="1"/>
  <c r="A46" i="2"/>
  <c r="B46" i="2" s="1"/>
  <c r="A69" i="2"/>
  <c r="B69" i="2" s="1"/>
  <c r="A65" i="2"/>
  <c r="B65" i="2" s="1"/>
  <c r="E34" i="2" s="1"/>
  <c r="A61" i="2"/>
  <c r="B61" i="2" s="1"/>
  <c r="A57" i="2"/>
  <c r="B57" i="2" s="1"/>
  <c r="A49" i="2"/>
  <c r="B49" i="2" s="1"/>
  <c r="A45" i="2"/>
  <c r="B45" i="2" s="1"/>
  <c r="A68" i="2"/>
  <c r="B68" i="2" s="1"/>
  <c r="A60" i="2"/>
  <c r="B60" i="2" s="1"/>
  <c r="A52" i="2"/>
  <c r="B52" i="2" s="1"/>
  <c r="A44" i="2"/>
  <c r="B44" i="2" s="1"/>
  <c r="B90" i="1"/>
  <c r="Q144" i="2"/>
  <c r="Q101" i="2"/>
  <c r="Q102" i="2"/>
  <c r="F58" i="2"/>
  <c r="G60" i="2"/>
  <c r="F62" i="2"/>
  <c r="H32" i="2"/>
  <c r="G58" i="2"/>
  <c r="G56" i="2"/>
  <c r="H26" i="2"/>
  <c r="H23" i="2"/>
  <c r="H22" i="2"/>
  <c r="G71" i="2"/>
  <c r="F72" i="2"/>
  <c r="F53" i="2"/>
  <c r="F49" i="2"/>
  <c r="H18" i="2"/>
  <c r="F56" i="2"/>
  <c r="F69" i="2"/>
  <c r="G53" i="2"/>
  <c r="K28" i="1"/>
  <c r="B60" i="1"/>
  <c r="F59" i="2"/>
  <c r="F64" i="2"/>
  <c r="G55" i="2"/>
  <c r="B76" i="1"/>
  <c r="F71" i="2"/>
  <c r="G44" i="2"/>
  <c r="F65" i="2"/>
  <c r="H35" i="2"/>
  <c r="F44" i="2"/>
  <c r="G64" i="2"/>
  <c r="F55" i="2"/>
  <c r="E26" i="2" l="1"/>
  <c r="Q120" i="2"/>
  <c r="Q113" i="2"/>
  <c r="Q105" i="2"/>
  <c r="Q123" i="2"/>
  <c r="Q139" i="2"/>
  <c r="Q119" i="2"/>
  <c r="Q127" i="2"/>
  <c r="E23" i="2"/>
  <c r="Q133" i="2"/>
  <c r="Q118" i="2"/>
  <c r="Q143" i="2"/>
  <c r="Q104" i="2"/>
  <c r="Q128" i="2"/>
  <c r="Q121" i="2"/>
  <c r="Q138" i="2"/>
  <c r="Q130" i="2"/>
  <c r="Q142" i="2"/>
  <c r="Q106" i="2"/>
  <c r="Q134" i="2"/>
  <c r="Q117" i="2"/>
  <c r="Q107" i="2"/>
  <c r="Q129" i="2"/>
  <c r="Q122" i="2"/>
  <c r="Q109" i="2"/>
  <c r="Q126" i="2"/>
  <c r="Q132" i="2"/>
  <c r="Q103" i="2"/>
  <c r="F42" i="1"/>
  <c r="F41" i="1" s="1"/>
  <c r="E17" i="2"/>
  <c r="Q111" i="2"/>
  <c r="Q136" i="2"/>
  <c r="Q141" i="2"/>
  <c r="Q110" i="2"/>
  <c r="Q116" i="2"/>
  <c r="Q124" i="2"/>
  <c r="Q137" i="2"/>
  <c r="Q115" i="2"/>
  <c r="Q125" i="2"/>
  <c r="Q135" i="2"/>
  <c r="Q131" i="2"/>
  <c r="E14" i="2"/>
  <c r="D21" i="2"/>
  <c r="E30" i="2"/>
  <c r="D39" i="2"/>
  <c r="E29" i="2"/>
  <c r="E38" i="2"/>
  <c r="B95" i="1"/>
  <c r="B41" i="1" s="1"/>
  <c r="E24" i="2"/>
  <c r="D24" i="2"/>
  <c r="D40" i="2"/>
  <c r="D13" i="2"/>
  <c r="D29" i="2"/>
  <c r="D38" i="2"/>
  <c r="D34" i="2"/>
  <c r="E25" i="2"/>
  <c r="G35" i="2"/>
  <c r="F35" i="2"/>
  <c r="G41" i="2"/>
  <c r="F41" i="2"/>
  <c r="G31" i="2"/>
  <c r="F31" i="2"/>
  <c r="E31" i="2"/>
  <c r="D31" i="2"/>
  <c r="E16" i="2"/>
  <c r="G16" i="2"/>
  <c r="F16" i="2"/>
  <c r="D16" i="2"/>
  <c r="E32" i="2"/>
  <c r="G32" i="2"/>
  <c r="F32" i="2"/>
  <c r="D32" i="2"/>
  <c r="D35" i="2"/>
  <c r="E35" i="2"/>
  <c r="D18" i="2"/>
  <c r="G25" i="2"/>
  <c r="F25" i="2"/>
  <c r="G37" i="2"/>
  <c r="F37" i="2"/>
  <c r="G33" i="2"/>
  <c r="F33" i="2"/>
  <c r="G27" i="2"/>
  <c r="D27" i="2"/>
  <c r="F27" i="2"/>
  <c r="E27" i="2"/>
  <c r="F20" i="2"/>
  <c r="G20" i="2"/>
  <c r="E20" i="2"/>
  <c r="F36" i="2"/>
  <c r="G36" i="2"/>
  <c r="E36" i="2"/>
  <c r="E37" i="2"/>
  <c r="E33" i="2"/>
  <c r="F19" i="2"/>
  <c r="G19" i="2"/>
  <c r="G17" i="2"/>
  <c r="F17" i="2"/>
  <c r="G29" i="2"/>
  <c r="F29" i="2"/>
  <c r="G24" i="2"/>
  <c r="F24" i="2"/>
  <c r="G40" i="2"/>
  <c r="F40" i="2"/>
  <c r="D33" i="2"/>
  <c r="D25" i="2"/>
  <c r="F30" i="2"/>
  <c r="G30" i="2"/>
  <c r="D30" i="2"/>
  <c r="G21" i="2"/>
  <c r="F21" i="2"/>
  <c r="E21" i="2"/>
  <c r="F26" i="2"/>
  <c r="G26" i="2"/>
  <c r="F22" i="2"/>
  <c r="G22" i="2"/>
  <c r="G13" i="2"/>
  <c r="F13" i="2"/>
  <c r="F34" i="2"/>
  <c r="G34" i="2"/>
  <c r="G28" i="2"/>
  <c r="F28" i="2"/>
  <c r="G39" i="2"/>
  <c r="F39" i="2"/>
  <c r="E39" i="2"/>
  <c r="D26" i="2"/>
  <c r="E13" i="2"/>
  <c r="E28" i="2"/>
  <c r="D37" i="2"/>
  <c r="D28" i="2"/>
  <c r="E22" i="2"/>
  <c r="D22" i="2"/>
  <c r="E19" i="2"/>
  <c r="D19" i="2"/>
  <c r="G23" i="2"/>
  <c r="F23" i="2"/>
  <c r="D23" i="2"/>
  <c r="F18" i="2"/>
  <c r="G18" i="2"/>
  <c r="D41" i="2"/>
  <c r="F15" i="2"/>
  <c r="G15" i="2"/>
  <c r="E15" i="2"/>
  <c r="D15" i="2"/>
  <c r="D20" i="2"/>
  <c r="G14" i="2"/>
  <c r="F14" i="2"/>
  <c r="D14" i="2"/>
  <c r="F38" i="2"/>
  <c r="G38" i="2"/>
  <c r="D17" i="2"/>
  <c r="E40" i="2"/>
  <c r="D36" i="2"/>
  <c r="E18" i="2"/>
  <c r="E41" i="2"/>
  <c r="B96" i="1" l="1"/>
  <c r="B42" i="1" s="1"/>
  <c r="B29" i="2"/>
  <c r="C29" i="2" s="1"/>
  <c r="B22" i="2"/>
  <c r="C22" i="2" s="1"/>
  <c r="B21" i="2"/>
  <c r="C21" i="2" s="1"/>
  <c r="B39" i="2"/>
  <c r="C39" i="2" s="1"/>
  <c r="B34" i="2"/>
  <c r="C34" i="2" s="1"/>
  <c r="B24" i="2"/>
  <c r="C24" i="2" s="1"/>
  <c r="B20" i="2"/>
  <c r="C20" i="2" s="1"/>
  <c r="B16" i="2"/>
  <c r="C16" i="2" s="1"/>
  <c r="B23" i="2"/>
  <c r="C23" i="2" s="1"/>
  <c r="B37" i="2"/>
  <c r="C37" i="2" s="1"/>
  <c r="B30" i="2"/>
  <c r="C30" i="2" s="1"/>
  <c r="B33" i="2"/>
  <c r="C33" i="2" s="1"/>
  <c r="B40" i="2"/>
  <c r="C40" i="2" s="1"/>
  <c r="B38" i="2"/>
  <c r="C38" i="2" s="1"/>
  <c r="B32" i="2"/>
  <c r="C32" i="2" s="1"/>
  <c r="B31" i="2"/>
  <c r="C31" i="2" s="1"/>
  <c r="B14" i="2"/>
  <c r="C14" i="2" s="1"/>
  <c r="B13" i="2"/>
  <c r="C13" i="2" s="1"/>
  <c r="B36" i="2"/>
  <c r="C36" i="2" s="1"/>
  <c r="B15" i="2"/>
  <c r="C15" i="2" s="1"/>
  <c r="B17" i="2"/>
  <c r="C17" i="2" s="1"/>
  <c r="B41" i="2"/>
  <c r="C41" i="2" s="1"/>
  <c r="B19" i="2"/>
  <c r="C19" i="2" s="1"/>
  <c r="B28" i="2"/>
  <c r="C28" i="2" s="1"/>
  <c r="B26" i="2"/>
  <c r="C26" i="2" s="1"/>
  <c r="B25" i="2"/>
  <c r="C25" i="2" s="1"/>
  <c r="B27" i="2"/>
  <c r="C27" i="2" s="1"/>
  <c r="B18" i="2"/>
  <c r="C18" i="2" s="1"/>
  <c r="B35" i="2"/>
  <c r="C35" i="2" s="1"/>
</calcChain>
</file>

<file path=xl/sharedStrings.xml><?xml version="1.0" encoding="utf-8"?>
<sst xmlns="http://schemas.openxmlformats.org/spreadsheetml/2006/main" count="317" uniqueCount="202">
  <si>
    <t>Power Loss Calculation</t>
  </si>
  <si>
    <t>kHz</t>
  </si>
  <si>
    <t>On Time</t>
  </si>
  <si>
    <t>ns</t>
  </si>
  <si>
    <t>V</t>
  </si>
  <si>
    <t>Duty Cycle</t>
  </si>
  <si>
    <t>Effective Output Resistance</t>
  </si>
  <si>
    <t>Ohm</t>
  </si>
  <si>
    <t>Output Current</t>
  </si>
  <si>
    <t>A</t>
  </si>
  <si>
    <t>Iupper,rms</t>
  </si>
  <si>
    <t>OUTPUT INDUCTOR</t>
  </si>
  <si>
    <t>Ilower,rms</t>
  </si>
  <si>
    <r>
      <t>Inductor Current Ripple Ratio (</t>
    </r>
    <r>
      <rPr>
        <b/>
        <sz val="10"/>
        <rFont val="Arial"/>
        <family val="2"/>
      </rPr>
      <t>∆</t>
    </r>
    <r>
      <rPr>
        <b/>
        <sz val="10"/>
        <rFont val="Times New Roman"/>
        <family val="1"/>
      </rPr>
      <t>I/ILOAD)</t>
    </r>
  </si>
  <si>
    <t>%</t>
  </si>
  <si>
    <t>Recommended Inductor</t>
  </si>
  <si>
    <t>uH</t>
  </si>
  <si>
    <t>Current Ripple</t>
  </si>
  <si>
    <t>Ap-p</t>
  </si>
  <si>
    <t>Output Inductor</t>
  </si>
  <si>
    <t>Switching Loss</t>
  </si>
  <si>
    <t xml:space="preserve">     DCR</t>
  </si>
  <si>
    <t>mOhm</t>
  </si>
  <si>
    <t>Upper MOSFET</t>
  </si>
  <si>
    <t>Lower MOSFET</t>
  </si>
  <si>
    <t>OUTPUT CAPACITOR</t>
  </si>
  <si>
    <t>Driver</t>
  </si>
  <si>
    <t>Number of Output Capacitor</t>
  </si>
  <si>
    <t xml:space="preserve">   Capacitance (Each)</t>
  </si>
  <si>
    <t>uF</t>
  </si>
  <si>
    <t>Ouput Cap. ESR</t>
  </si>
  <si>
    <t>Conduction Loss</t>
  </si>
  <si>
    <t xml:space="preserve">   ESR (Each)</t>
  </si>
  <si>
    <t>UPPER MOSFET</t>
  </si>
  <si>
    <t>Rds,on</t>
  </si>
  <si>
    <t>LOWER MOSFET</t>
  </si>
  <si>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C/Watt</t>
    </r>
  </si>
  <si>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</si>
  <si>
    <t>Total Loss</t>
  </si>
  <si>
    <t>Watts</t>
  </si>
  <si>
    <t>Efficiency</t>
  </si>
  <si>
    <t>Power Dissipation in IC</t>
  </si>
  <si>
    <t>W</t>
  </si>
  <si>
    <t xml:space="preserve">   Rds,on</t>
  </si>
  <si>
    <t xml:space="preserve">   Vd</t>
  </si>
  <si>
    <t xml:space="preserve">   Qrr</t>
  </si>
  <si>
    <t>nC</t>
  </si>
  <si>
    <t xml:space="preserve">   Qg</t>
  </si>
  <si>
    <t xml:space="preserve">   Cgs</t>
  </si>
  <si>
    <t>nF</t>
  </si>
  <si>
    <t>Rdson*Cgs</t>
  </si>
  <si>
    <t>mOhm*nF</t>
  </si>
  <si>
    <t xml:space="preserve">   Coss</t>
  </si>
  <si>
    <t>Rdson*Coss</t>
  </si>
  <si>
    <t xml:space="preserve">   Tr</t>
  </si>
  <si>
    <t>Switching time of upper MOSFET from OFF to ON</t>
  </si>
  <si>
    <t xml:space="preserve">   Tf</t>
  </si>
  <si>
    <t>Switching time of upper MOSFET from ON to OFF</t>
  </si>
  <si>
    <t xml:space="preserve">   n</t>
  </si>
  <si>
    <t>Number of upper MOSFETs</t>
  </si>
  <si>
    <t xml:space="preserve">   Pcon</t>
  </si>
  <si>
    <t>Upper MOSFETs conduction loss = (Irms.upper)^2*Rds/n</t>
  </si>
  <si>
    <t xml:space="preserve">   Psw_on</t>
  </si>
  <si>
    <t>Upper MOSFETs turn-ON switching loss = Vin*(Iout-Irip/2)*Tr*Fsw/2</t>
  </si>
  <si>
    <t xml:space="preserve">   Psw_off</t>
  </si>
  <si>
    <t>Upper MOSFETs turn-OFF switching loss = Vin*(Iout+Irip/2)*Tf*Fsw/2</t>
  </si>
  <si>
    <t xml:space="preserve">   Pdiode</t>
  </si>
  <si>
    <t>Upper MOSFET diode reverse recovery loss = n*Vin*Fsw*Qrr</t>
  </si>
  <si>
    <t xml:space="preserve">   Pcap</t>
  </si>
  <si>
    <t>MOSFET output capacitance loss  = n*Coss*(Vin)^2*Fsw/2</t>
  </si>
  <si>
    <t xml:space="preserve">   Pupper</t>
  </si>
  <si>
    <t>Total upper MOSFETs Power loss</t>
  </si>
  <si>
    <t xml:space="preserve">   Td_on</t>
  </si>
  <si>
    <t>Dead time for UGATE OFF to LGATE ON</t>
  </si>
  <si>
    <t xml:space="preserve">   Td_off</t>
  </si>
  <si>
    <t>Dead time for LGATE ON to UGATE OFF</t>
  </si>
  <si>
    <t>Number of lower MOSFETs</t>
  </si>
  <si>
    <t>Lower MOSFET conduction loss = (Irms.lower)^2*Rds/n</t>
  </si>
  <si>
    <t xml:space="preserve">   Pdiode_QRR</t>
  </si>
  <si>
    <t xml:space="preserve">   Plower</t>
  </si>
  <si>
    <t>Total lower MOSFETs Power loss</t>
  </si>
  <si>
    <t>DRIVER POWER LOSS</t>
  </si>
  <si>
    <t>Vgs,u</t>
  </si>
  <si>
    <t>Vgs,l</t>
  </si>
  <si>
    <t>Iq</t>
  </si>
  <si>
    <t>mA</t>
  </si>
  <si>
    <t>Quiescent Current</t>
  </si>
  <si>
    <t>Pdr,up</t>
  </si>
  <si>
    <t>Upper MOSFET driver loss = n*Vgs1*Fsw*Qg.up</t>
  </si>
  <si>
    <t>Pdr,low</t>
  </si>
  <si>
    <t>Lower MOSFET driver loss = n*Vgs2*Fsw*Qg.low</t>
  </si>
  <si>
    <t>LDO</t>
  </si>
  <si>
    <t>LDO Loss = (Vin-V_LDO)*Iq</t>
  </si>
  <si>
    <t>Pdriver</t>
  </si>
  <si>
    <t>Total driver power loss</t>
  </si>
  <si>
    <t>OUTPUT INDUCTOR LOSS</t>
  </si>
  <si>
    <t>Pcore</t>
  </si>
  <si>
    <t>Inductor core loss</t>
  </si>
  <si>
    <t>Pcon</t>
  </si>
  <si>
    <t>Inductor conduction loss = (Irms)^2*DCR</t>
  </si>
  <si>
    <t>Pind</t>
  </si>
  <si>
    <t>Total inductor loss</t>
  </si>
  <si>
    <t>OUTPUT CAPACITOR LOSS</t>
  </si>
  <si>
    <t>Pesr</t>
  </si>
  <si>
    <t>ESR Conduction Loss</t>
  </si>
  <si>
    <t>PWM Efficiency Summary</t>
  </si>
  <si>
    <t>Min Current</t>
  </si>
  <si>
    <t>Max Current</t>
  </si>
  <si>
    <t xml:space="preserve">Total Power Loss </t>
  </si>
  <si>
    <t>Losses in Upper MOSFET</t>
  </si>
  <si>
    <t>Losses in Lower MOSFET</t>
  </si>
  <si>
    <t>Driver Loss</t>
  </si>
  <si>
    <t>Inductor Loss</t>
  </si>
  <si>
    <t>Capactor Loss</t>
  </si>
  <si>
    <t>D</t>
  </si>
  <si>
    <t>Irip</t>
  </si>
  <si>
    <t>Iup,rms</t>
  </si>
  <si>
    <t>Ilos,rms</t>
  </si>
  <si>
    <t>PFM Efficiency Summary</t>
  </si>
  <si>
    <t>PFM Pk Current</t>
  </si>
  <si>
    <t>V_ls_diode</t>
  </si>
  <si>
    <t xml:space="preserve">Vout Upper </t>
  </si>
  <si>
    <t>Dead Time</t>
  </si>
  <si>
    <t>nsec</t>
  </si>
  <si>
    <t>Iout_PFM</t>
  </si>
  <si>
    <t>uA</t>
  </si>
  <si>
    <t>dt1</t>
  </si>
  <si>
    <t>second</t>
  </si>
  <si>
    <t>On time pulse</t>
  </si>
  <si>
    <t>dt2</t>
  </si>
  <si>
    <t>Off time pulse</t>
  </si>
  <si>
    <t>f1</t>
  </si>
  <si>
    <t>Hz</t>
  </si>
  <si>
    <t>f1=1/(dt1+dt2)</t>
  </si>
  <si>
    <t>f2</t>
  </si>
  <si>
    <t>f2=2*Iout(I_PFM_pk/2 -Iout)/((Vout_upper-Vout)*Cout*I_PFM_pk)</t>
  </si>
  <si>
    <t>P_lnd_cond</t>
  </si>
  <si>
    <t>Inductor conduction loss</t>
  </si>
  <si>
    <t>P_lnd_ac</t>
  </si>
  <si>
    <t>P_hs_cond</t>
  </si>
  <si>
    <t>P_hs_cond=Rdson_hs*2*Iout*T_PFM_pk*Vout/(3*Vin)</t>
  </si>
  <si>
    <t>P_hs_turn_off</t>
  </si>
  <si>
    <t>P_hs_turn_off is the ac loss = 2*Cgsp*Vin^2*Iout(Vout*(Vin-Vout)/(I_PFM_pk*L*)*tf</t>
  </si>
  <si>
    <t>P_hs_gate_drive</t>
  </si>
  <si>
    <t>P_hs_gate_drive is the gate driver loss = Cgshs*Vgs^2*2*Iout*Vout*(Vin-Vout)/(I_PFM_pk^2*L*Vdr)</t>
  </si>
  <si>
    <t>N_ls_cond</t>
  </si>
  <si>
    <t>N_ls_cond=Rdson_ls*2*Iout*I_PFM_pk*(Vin-Vout)/(3*Vin)</t>
  </si>
  <si>
    <t>N_ls_gate_drive</t>
  </si>
  <si>
    <t>N_ls_gate_drive is the gate driver loss = Cgshs*Vgs^2*2*Iout*Vout*(Vin-Vout)/(I_PFM_pk^2*L*Vdr)</t>
  </si>
  <si>
    <t>D_ls_diode</t>
  </si>
  <si>
    <t>N_ls_diode=V_ls_diode*Dead_time*2*Iout*Vout*(Vin-Vout)/(I_PFM_pk^2*Lout*Vin)</t>
  </si>
  <si>
    <t>Cout_esr</t>
  </si>
  <si>
    <t>Cout_esr=Resr*Iout*I_PFM_pk/6</t>
  </si>
  <si>
    <t>P_iq</t>
  </si>
  <si>
    <t>Quiescent Power Loss=Iq*Vin</t>
  </si>
  <si>
    <t>Pwr Loss Total</t>
  </si>
  <si>
    <t>Efficiency_PFM</t>
  </si>
  <si>
    <t>step</t>
  </si>
  <si>
    <t>Output Iout</t>
  </si>
  <si>
    <t>Lower MOSFET diode reverse recovery loss = n*Vin*Fsw*Qrr/2</t>
  </si>
  <si>
    <t>Time shift</t>
  </si>
  <si>
    <t>Frequency</t>
  </si>
  <si>
    <t>Energy Current</t>
  </si>
  <si>
    <t>DCM-CCM Boundary</t>
  </si>
  <si>
    <t>720kHz, 4.2uH 20m</t>
  </si>
  <si>
    <t>800kHz, Rdson 66m/36m</t>
  </si>
  <si>
    <t>800kHz, Rdson 59m/26m</t>
  </si>
  <si>
    <t>Iout</t>
  </si>
  <si>
    <t>Output Voltage Ripple</t>
  </si>
  <si>
    <t>mVp-p</t>
  </si>
  <si>
    <t>Body diode conduction loss = Vd*Fsw*[ (Iout+Irip/2) * Td_on+ (Iout-Irip/2) * Td_off]</t>
  </si>
  <si>
    <t>Measured 12Vin/5Vout</t>
  </si>
  <si>
    <t>Soft Start Time</t>
  </si>
  <si>
    <t>ms</t>
  </si>
  <si>
    <t>Mode</t>
  </si>
  <si>
    <t>Css</t>
  </si>
  <si>
    <t>R1</t>
  </si>
  <si>
    <t>R2</t>
  </si>
  <si>
    <r>
      <t xml:space="preserve">Thermal Resistance, </t>
    </r>
    <r>
      <rPr>
        <b/>
        <sz val="10"/>
        <rFont val="Calibri"/>
        <family val="2"/>
      </rPr>
      <t>θja</t>
    </r>
  </si>
  <si>
    <r>
      <t>Ambient Temperature, T</t>
    </r>
    <r>
      <rPr>
        <b/>
        <vertAlign val="subscript"/>
        <sz val="10"/>
        <rFont val="Arial"/>
        <family val="2"/>
      </rPr>
      <t>A</t>
    </r>
  </si>
  <si>
    <r>
      <t>Jucntion Temperature, T</t>
    </r>
    <r>
      <rPr>
        <b/>
        <vertAlign val="subscript"/>
        <sz val="10"/>
        <rFont val="Arial"/>
        <family val="2"/>
      </rPr>
      <t>J</t>
    </r>
  </si>
  <si>
    <t>Part Munber</t>
  </si>
  <si>
    <t>AP62200</t>
  </si>
  <si>
    <t>AP62201</t>
  </si>
  <si>
    <t>AP62300</t>
  </si>
  <si>
    <t>AP62301</t>
  </si>
  <si>
    <t>AP62400</t>
  </si>
  <si>
    <t>AP62401</t>
  </si>
  <si>
    <t>kΩ</t>
  </si>
  <si>
    <t>AP62150</t>
  </si>
  <si>
    <t>AP62200T</t>
  </si>
  <si>
    <t>AP62250</t>
  </si>
  <si>
    <t>AP62300T</t>
  </si>
  <si>
    <t>AP62400T</t>
  </si>
  <si>
    <t>Note: In order for the design file to work</t>
  </si>
  <si>
    <t>in local region.</t>
  </si>
  <si>
    <t>1. Go to File, then Option.</t>
  </si>
  <si>
    <t>2. Select Advance.</t>
  </si>
  <si>
    <t>3. Unselect Use System separator</t>
  </si>
  <si>
    <t>4. Change to local Decimal/Thousand separator to "." or ","</t>
  </si>
  <si>
    <t>5. Click OK.</t>
  </si>
  <si>
    <t>Version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</si>
</sst>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E+00"/>
    <numFmt numFmtId="167" formatCode="#,##0.0"/>
    <numFmt numFmtId="168" formatCode="#,##0.000"/>
    <numFmt numFmtId="169" formatCode="0.0E+00"/>
    <numFmt numFmtId="170" formatCode="0.0000E+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sz val="10"/>
      <name val="Times New Roman"/>
      <family val="1"/>
    </font>
    <font>
      <b/>
      <sz val="10"/>
      <color theme="0"/>
      <name val="Arial"/>
      <family val="2"/>
    </font>
    <font>
      <b/>
      <sz val="10"/>
      <name val="Symbol"/>
      <family val="1"/>
      <charset val="2"/>
    </font>
    <font>
      <b/>
      <i/>
      <u/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i/>
      <u/>
      <sz val="10"/>
      <color theme="0"/>
      <name val="Arial"/>
      <family val="2"/>
    </font>
    <font>
      <b/>
      <i/>
      <sz val="10"/>
      <color theme="0"/>
      <name val="Arial"/>
      <family val="2"/>
    </font>
    <font>
      <sz val="10"/>
      <color theme="0"/>
      <name val="Calibri"/>
      <family val="2"/>
    </font>
    <font>
      <b/>
      <i/>
      <sz val="12"/>
      <color theme="0"/>
      <name val="Arial"/>
      <family val="2"/>
    </font>
    <font>
      <b/>
      <sz val="10"/>
      <name val="Calibri"/>
      <family val="2"/>
    </font>
    <font>
      <b/>
      <sz val="16"/>
      <color rgb="FFFF0000"/>
      <name val="Arial"/>
      <family val="2"/>
    </font>
    <font>
      <b/>
      <vertAlign val="subscript"/>
      <sz val="10"/>
      <name val="Arial"/>
      <family val="2"/>
    </font>
    <font>
      <b/>
      <sz val="16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5" fillId="0" borderId="0">
      <alignment vertical="center"/>
    </xf>
    <xf numFmtId="0" fontId="16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0" xfId="0" applyFont="1" applyFill="1" applyProtection="1">
      <protection locked="0"/>
    </xf>
    <xf numFmtId="0" fontId="2" fillId="4" borderId="0" xfId="0" applyFont="1" applyFill="1"/>
    <xf numFmtId="1" fontId="2" fillId="5" borderId="0" xfId="0" applyNumberFormat="1" applyFont="1" applyFill="1"/>
    <xf numFmtId="164" fontId="2" fillId="3" borderId="0" xfId="0" applyNumberFormat="1" applyFont="1" applyFill="1" applyProtection="1">
      <protection locked="0"/>
    </xf>
    <xf numFmtId="2" fontId="2" fillId="5" borderId="0" xfId="0" applyNumberFormat="1" applyFont="1" applyFill="1"/>
    <xf numFmtId="0" fontId="5" fillId="2" borderId="0" xfId="0" applyFont="1" applyFill="1"/>
    <xf numFmtId="164" fontId="2" fillId="5" borderId="0" xfId="0" applyNumberFormat="1" applyFont="1" applyFill="1"/>
    <xf numFmtId="2" fontId="2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7" fillId="3" borderId="0" xfId="0" applyFont="1" applyFill="1" applyProtection="1">
      <protection locked="0"/>
    </xf>
    <xf numFmtId="0" fontId="7" fillId="4" borderId="0" xfId="0" applyFont="1" applyFill="1"/>
    <xf numFmtId="164" fontId="7" fillId="5" borderId="0" xfId="0" applyNumberFormat="1" applyFont="1" applyFill="1"/>
    <xf numFmtId="0" fontId="8" fillId="2" borderId="0" xfId="0" applyFont="1" applyFill="1" applyProtection="1">
      <protection hidden="1"/>
    </xf>
    <xf numFmtId="0" fontId="8" fillId="2" borderId="0" xfId="0" applyFont="1" applyFill="1"/>
    <xf numFmtId="0" fontId="2" fillId="2" borderId="0" xfId="0" quotePrefix="1" applyFont="1" applyFill="1"/>
    <xf numFmtId="1" fontId="2" fillId="3" borderId="0" xfId="0" applyNumberFormat="1" applyFont="1" applyFill="1" applyProtection="1">
      <protection locked="0"/>
    </xf>
    <xf numFmtId="165" fontId="8" fillId="2" borderId="0" xfId="0" applyNumberFormat="1" applyFont="1" applyFill="1" applyProtection="1">
      <protection hidden="1"/>
    </xf>
    <xf numFmtId="1" fontId="2" fillId="2" borderId="0" xfId="0" applyNumberFormat="1" applyFont="1" applyFill="1"/>
    <xf numFmtId="0" fontId="2" fillId="2" borderId="0" xfId="1" applyFont="1" applyFill="1"/>
    <xf numFmtId="0" fontId="2" fillId="4" borderId="0" xfId="1" applyFont="1" applyFill="1"/>
    <xf numFmtId="0" fontId="10" fillId="2" borderId="0" xfId="0" applyFont="1" applyFill="1"/>
    <xf numFmtId="165" fontId="11" fillId="5" borderId="0" xfId="0" applyNumberFormat="1" applyFont="1" applyFill="1"/>
    <xf numFmtId="0" fontId="11" fillId="4" borderId="0" xfId="0" applyFont="1" applyFill="1"/>
    <xf numFmtId="164" fontId="2" fillId="5" borderId="0" xfId="1" applyNumberFormat="1" applyFont="1" applyFill="1"/>
    <xf numFmtId="165" fontId="2" fillId="6" borderId="0" xfId="0" applyNumberFormat="1" applyFont="1" applyFill="1"/>
    <xf numFmtId="0" fontId="2" fillId="7" borderId="0" xfId="0" applyFont="1" applyFill="1"/>
    <xf numFmtId="1" fontId="2" fillId="2" borderId="1" xfId="0" applyNumberFormat="1" applyFont="1" applyFill="1" applyBorder="1"/>
    <xf numFmtId="0" fontId="12" fillId="2" borderId="0" xfId="0" applyFont="1" applyFill="1"/>
    <xf numFmtId="0" fontId="12" fillId="2" borderId="0" xfId="0" applyFont="1" applyFill="1" applyProtection="1">
      <protection hidden="1"/>
    </xf>
    <xf numFmtId="165" fontId="4" fillId="2" borderId="0" xfId="0" applyNumberFormat="1" applyFont="1" applyFill="1"/>
    <xf numFmtId="0" fontId="13" fillId="2" borderId="0" xfId="0" applyFont="1" applyFill="1"/>
    <xf numFmtId="0" fontId="14" fillId="2" borderId="0" xfId="0" applyFont="1" applyFill="1"/>
    <xf numFmtId="0" fontId="2" fillId="2" borderId="0" xfId="0" applyFont="1" applyFill="1" applyProtection="1">
      <protection hidden="1"/>
    </xf>
    <xf numFmtId="11" fontId="8" fillId="2" borderId="0" xfId="0" applyNumberFormat="1" applyFont="1" applyFill="1" applyProtection="1">
      <protection hidden="1"/>
    </xf>
    <xf numFmtId="0" fontId="2" fillId="3" borderId="0" xfId="1" applyFont="1" applyFill="1" applyProtection="1">
      <protection locked="0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20" fillId="2" borderId="0" xfId="0" applyFont="1" applyFill="1"/>
    <xf numFmtId="0" fontId="8" fillId="2" borderId="0" xfId="0" quotePrefix="1" applyFont="1" applyFill="1" applyProtection="1">
      <protection hidden="1"/>
    </xf>
    <xf numFmtId="0" fontId="19" fillId="8" borderId="0" xfId="0" applyFont="1" applyFill="1"/>
    <xf numFmtId="0" fontId="8" fillId="8" borderId="0" xfId="0" applyFont="1" applyFill="1"/>
    <xf numFmtId="0" fontId="8" fillId="8" borderId="0" xfId="0" applyFont="1" applyFill="1" applyAlignment="1">
      <alignment horizontal="right"/>
    </xf>
    <xf numFmtId="0" fontId="21" fillId="4" borderId="0" xfId="0" applyFont="1" applyFill="1"/>
    <xf numFmtId="0" fontId="22" fillId="2" borderId="0" xfId="0" applyFont="1" applyFill="1" applyAlignment="1">
      <alignment vertical="top"/>
    </xf>
    <xf numFmtId="0" fontId="2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/>
    </xf>
    <xf numFmtId="166" fontId="8" fillId="2" borderId="0" xfId="0" applyNumberFormat="1" applyFont="1" applyFill="1" applyProtection="1">
      <protection hidden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4" fontId="2" fillId="3" borderId="0" xfId="0" applyNumberFormat="1" applyFont="1" applyFill="1" applyAlignment="1" applyProtection="1">
      <alignment horizontal="right" vertical="center"/>
      <protection locked="0"/>
    </xf>
    <xf numFmtId="0" fontId="8" fillId="2" borderId="0" xfId="0" applyFont="1" applyFill="1" applyAlignment="1">
      <alignment horizontal="right" vertical="center"/>
    </xf>
    <xf numFmtId="2" fontId="8" fillId="8" borderId="0" xfId="0" applyNumberFormat="1" applyFont="1" applyFill="1"/>
    <xf numFmtId="0" fontId="8" fillId="8" borderId="0" xfId="0" applyFont="1" applyFill="1" applyAlignment="1">
      <alignment horizontal="right" vertical="center"/>
    </xf>
    <xf numFmtId="1" fontId="8" fillId="8" borderId="0" xfId="0" applyNumberFormat="1" applyFont="1" applyFill="1" applyAlignment="1">
      <alignment horizontal="right"/>
    </xf>
    <xf numFmtId="1" fontId="8" fillId="8" borderId="0" xfId="0" applyNumberFormat="1" applyFont="1" applyFill="1"/>
    <xf numFmtId="1" fontId="8" fillId="2" borderId="0" xfId="0" applyNumberFormat="1" applyFont="1" applyFill="1"/>
    <xf numFmtId="165" fontId="8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2" borderId="0" xfId="0" applyNumberFormat="1" applyFont="1" applyFill="1"/>
    <xf numFmtId="164" fontId="2" fillId="9" borderId="0" xfId="0" applyNumberFormat="1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>
      <alignment vertical="top" wrapText="1"/>
    </xf>
    <xf numFmtId="0" fontId="2" fillId="9" borderId="0" xfId="0" applyFont="1" applyFill="1" applyAlignment="1">
      <alignment horizontal="left"/>
    </xf>
    <xf numFmtId="0" fontId="8" fillId="8" borderId="0" xfId="0" applyFont="1" applyFill="1" applyProtection="1">
      <protection hidden="1"/>
    </xf>
    <xf numFmtId="0" fontId="17" fillId="8" borderId="0" xfId="0" applyFont="1" applyFill="1" applyProtection="1">
      <protection hidden="1"/>
    </xf>
    <xf numFmtId="1" fontId="8" fillId="8" borderId="0" xfId="0" applyNumberFormat="1" applyFont="1" applyFill="1" applyProtection="1">
      <protection hidden="1"/>
    </xf>
    <xf numFmtId="167" fontId="8" fillId="8" borderId="0" xfId="0" applyNumberFormat="1" applyFont="1" applyFill="1" applyProtection="1">
      <protection hidden="1"/>
    </xf>
    <xf numFmtId="11" fontId="8" fillId="8" borderId="0" xfId="0" applyNumberFormat="1" applyFont="1" applyFill="1" applyProtection="1">
      <protection hidden="1"/>
    </xf>
    <xf numFmtId="168" fontId="8" fillId="8" borderId="0" xfId="0" applyNumberFormat="1" applyFont="1" applyFill="1" applyProtection="1">
      <protection hidden="1"/>
    </xf>
    <xf numFmtId="165" fontId="8" fillId="8" borderId="0" xfId="0" applyNumberFormat="1" applyFont="1" applyFill="1" applyProtection="1">
      <protection hidden="1"/>
    </xf>
    <xf numFmtId="4" fontId="8" fillId="8" borderId="0" xfId="0" applyNumberFormat="1" applyFont="1" applyFill="1" applyProtection="1">
      <protection hidden="1"/>
    </xf>
    <xf numFmtId="0" fontId="18" fillId="8" borderId="0" xfId="0" applyFont="1" applyFill="1" applyProtection="1">
      <protection hidden="1"/>
    </xf>
    <xf numFmtId="0" fontId="8" fillId="8" borderId="0" xfId="1" applyFont="1" applyFill="1" applyProtection="1">
      <protection hidden="1"/>
    </xf>
    <xf numFmtId="165" fontId="8" fillId="8" borderId="0" xfId="1" applyNumberFormat="1" applyFont="1" applyFill="1" applyProtection="1">
      <protection hidden="1"/>
    </xf>
    <xf numFmtId="169" fontId="8" fillId="8" borderId="0" xfId="0" applyNumberFormat="1" applyFont="1" applyFill="1" applyProtection="1">
      <protection hidden="1"/>
    </xf>
    <xf numFmtId="165" fontId="18" fillId="8" borderId="0" xfId="0" applyNumberFormat="1" applyFont="1" applyFill="1" applyProtection="1">
      <protection hidden="1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2" xr:uid="{00000000-0005-0000-0000-000003000000}"/>
    <cellStyle name="Percent 2" xfId="5" xr:uid="{00000000-0005-0000-0000-000004000000}"/>
    <cellStyle name="Percent 3" xfId="4" xr:uid="{00000000-0005-0000-0000-000005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Power Loss Distribution Chart</a:t>
            </a:r>
          </a:p>
        </c:rich>
      </c:tx>
      <c:layout>
        <c:manualLayout>
          <c:xMode val="edge"/>
          <c:yMode val="edge"/>
          <c:x val="0.30381468498736203"/>
          <c:y val="3.1042128603104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3978201634879"/>
          <c:y val="0.19290486517035188"/>
          <c:w val="0.82152588555858308"/>
          <c:h val="0.58758378471429018"/>
        </c:manualLayout>
      </c:layout>
      <c:barChart>
        <c:barDir val="col"/>
        <c:grouping val="stacked"/>
        <c:varyColors val="0"/>
        <c:ser>
          <c:idx val="0"/>
          <c:order val="0"/>
          <c:tx>
            <c:v>Conduction Losses</c:v>
          </c:tx>
          <c:spPr>
            <a:solidFill>
              <a:srgbClr val="007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'Power Loss'!$J$28:$J$32</c:f>
              <c:strCache>
                <c:ptCount val="5"/>
                <c:pt idx="0">
                  <c:v>Upper MOSFET</c:v>
                </c:pt>
                <c:pt idx="1">
                  <c:v>Lower MOSFET</c:v>
                </c:pt>
                <c:pt idx="2">
                  <c:v>Driver</c:v>
                </c:pt>
                <c:pt idx="3">
                  <c:v>Output Inductor</c:v>
                </c:pt>
                <c:pt idx="4">
                  <c:v>Ouput Cap. ESR</c:v>
                </c:pt>
              </c:strCache>
            </c:strRef>
          </c:cat>
          <c:val>
            <c:numRef>
              <c:f>'Power Loss'!$K$28:$K$32</c:f>
              <c:numCache>
                <c:formatCode>0.000</c:formatCode>
                <c:ptCount val="5"/>
                <c:pt idx="0">
                  <c:v>6.9851330308676102E-2</c:v>
                </c:pt>
                <c:pt idx="1">
                  <c:v>1.7666644048256602E-2</c:v>
                </c:pt>
                <c:pt idx="3">
                  <c:v>2.0149201066666667E-2</c:v>
                </c:pt>
                <c:pt idx="4" formatCode="0.000E+00">
                  <c:v>4.6625333333333349E-6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0-4DAB-A9B2-47E6D987F80C}"/>
            </c:ext>
          </c:extLst>
        </c:ser>
        <c:ser>
          <c:idx val="1"/>
          <c:order val="1"/>
          <c:tx>
            <c:v>Switching Losses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'Power Loss'!$J$28:$J$32</c:f>
              <c:strCache>
                <c:ptCount val="5"/>
                <c:pt idx="0">
                  <c:v>Upper MOSFET</c:v>
                </c:pt>
                <c:pt idx="1">
                  <c:v>Lower MOSFET</c:v>
                </c:pt>
                <c:pt idx="2">
                  <c:v>Driver</c:v>
                </c:pt>
                <c:pt idx="3">
                  <c:v>Output Inductor</c:v>
                </c:pt>
                <c:pt idx="4">
                  <c:v>Ouput Cap. ESR</c:v>
                </c:pt>
              </c:strCache>
            </c:strRef>
          </c:cat>
          <c:val>
            <c:numRef>
              <c:f>'Power Loss'!$L$28:$L$32</c:f>
              <c:numCache>
                <c:formatCode>0.000</c:formatCode>
                <c:ptCount val="5"/>
                <c:pt idx="0">
                  <c:v>1.604033085719871E-2</c:v>
                </c:pt>
                <c:pt idx="1">
                  <c:v>2.5336346989634658E-2</c:v>
                </c:pt>
                <c:pt idx="2">
                  <c:v>1.5E-3</c:v>
                </c:pt>
                <c:pt idx="3">
                  <c:v>1.463230549808459E-4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0-4DAB-A9B2-47E6D987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627072"/>
        <c:axId val="880671744"/>
      </c:barChart>
      <c:catAx>
        <c:axId val="8806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Component</a:t>
                </a:r>
              </a:p>
            </c:rich>
          </c:tx>
          <c:layout>
            <c:manualLayout>
              <c:xMode val="edge"/>
              <c:yMode val="edge"/>
              <c:x val="0.48092643637510962"/>
              <c:y val="0.90465725043793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67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067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Watts</a:t>
                </a:r>
              </a:p>
            </c:rich>
          </c:tx>
          <c:layout>
            <c:manualLayout>
              <c:xMode val="edge"/>
              <c:yMode val="edge"/>
              <c:x val="2.0435965979813949E-2"/>
              <c:y val="0.432372971116969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627072"/>
        <c:crosses val="autoZero"/>
        <c:crossBetween val="between"/>
      </c:valAx>
      <c:spPr>
        <a:solidFill>
          <a:srgbClr val="FFFFFF"/>
        </a:solidFill>
        <a:ln w="12700">
          <a:solidFill>
            <a:sysClr val="windowText" lastClr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40464327692202"/>
          <c:y val="0.1906875942059349"/>
          <c:w val="0.21312211138733153"/>
          <c:h val="9.9778503296843984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ysClr val="windowText" lastClr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Efficiency Vs. Load </a:t>
            </a:r>
          </a:p>
        </c:rich>
      </c:tx>
      <c:layout>
        <c:manualLayout>
          <c:xMode val="edge"/>
          <c:yMode val="edge"/>
          <c:x val="0.3307892047845164"/>
          <c:y val="2.9239766081871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91440282383464E-2"/>
          <c:y val="9.8765841404327384E-2"/>
          <c:w val="0.88295275096507109"/>
          <c:h val="0.78742455791975219"/>
        </c:manualLayout>
      </c:layout>
      <c:scatterChart>
        <c:scatterStyle val="smoothMarker"/>
        <c:varyColors val="0"/>
        <c:ser>
          <c:idx val="0"/>
          <c:order val="0"/>
          <c:tx>
            <c:v>Calculated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'Efficiency Summary'!$A$13:$A$41</c:f>
              <c:numCache>
                <c:formatCode>General</c:formatCode>
                <c:ptCount val="29"/>
                <c:pt idx="0">
                  <c:v>1E-3</c:v>
                </c:pt>
                <c:pt idx="1">
                  <c:v>1.9989999999999999E-3</c:v>
                </c:pt>
                <c:pt idx="2">
                  <c:v>2.9980000000000002E-3</c:v>
                </c:pt>
                <c:pt idx="3">
                  <c:v>4.9960000000000004E-3</c:v>
                </c:pt>
                <c:pt idx="4">
                  <c:v>6.9940000000000002E-3</c:v>
                </c:pt>
                <c:pt idx="5">
                  <c:v>8.992E-3</c:v>
                </c:pt>
                <c:pt idx="6">
                  <c:v>1.099E-2</c:v>
                </c:pt>
                <c:pt idx="7">
                  <c:v>2.0980000000000002E-2</c:v>
                </c:pt>
                <c:pt idx="8">
                  <c:v>4.0960000000000003E-2</c:v>
                </c:pt>
                <c:pt idx="9">
                  <c:v>6.0940000000000001E-2</c:v>
                </c:pt>
                <c:pt idx="10">
                  <c:v>8.0920000000000006E-2</c:v>
                </c:pt>
                <c:pt idx="11">
                  <c:v>0.1009</c:v>
                </c:pt>
                <c:pt idx="12">
                  <c:v>0.15084999999999998</c:v>
                </c:pt>
                <c:pt idx="13">
                  <c:v>0.20080000000000001</c:v>
                </c:pt>
                <c:pt idx="14">
                  <c:v>0.25074999999999997</c:v>
                </c:pt>
                <c:pt idx="15">
                  <c:v>0.35064999999999996</c:v>
                </c:pt>
                <c:pt idx="16">
                  <c:v>0.40060000000000001</c:v>
                </c:pt>
                <c:pt idx="17">
                  <c:v>0.45055000000000001</c:v>
                </c:pt>
                <c:pt idx="18">
                  <c:v>0.50049999999999994</c:v>
                </c:pt>
                <c:pt idx="19">
                  <c:v>0.55044999999999999</c:v>
                </c:pt>
                <c:pt idx="20">
                  <c:v>0.60039999999999993</c:v>
                </c:pt>
                <c:pt idx="21">
                  <c:v>0.65034999999999998</c:v>
                </c:pt>
                <c:pt idx="22">
                  <c:v>0.70029999999999992</c:v>
                </c:pt>
                <c:pt idx="23">
                  <c:v>0.75024999999999997</c:v>
                </c:pt>
                <c:pt idx="24">
                  <c:v>0.80020000000000002</c:v>
                </c:pt>
                <c:pt idx="25">
                  <c:v>0.85014999999999996</c:v>
                </c:pt>
                <c:pt idx="26">
                  <c:v>0.90010000000000001</c:v>
                </c:pt>
                <c:pt idx="27">
                  <c:v>0.95004999999999995</c:v>
                </c:pt>
                <c:pt idx="28">
                  <c:v>1</c:v>
                </c:pt>
              </c:numCache>
            </c:numRef>
          </c:xVal>
          <c:yVal>
            <c:numRef>
              <c:f>'Efficiency Summary'!$C$13:$C$41</c:f>
              <c:numCache>
                <c:formatCode>0.00</c:formatCode>
                <c:ptCount val="29"/>
                <c:pt idx="0">
                  <c:v>9.8435375260763962</c:v>
                </c:pt>
                <c:pt idx="1">
                  <c:v>17.888889053344968</c:v>
                </c:pt>
                <c:pt idx="2">
                  <c:v>24.593014048754604</c:v>
                </c:pt>
                <c:pt idx="3">
                  <c:v>35.125392583038561</c:v>
                </c:pt>
                <c:pt idx="4">
                  <c:v>43.01978079646333</c:v>
                </c:pt>
                <c:pt idx="5">
                  <c:v>49.15420856642158</c:v>
                </c:pt>
                <c:pt idx="6">
                  <c:v>54.05581794084241</c:v>
                </c:pt>
                <c:pt idx="7">
                  <c:v>68.68676432628844</c:v>
                </c:pt>
                <c:pt idx="8">
                  <c:v>80.068169005822838</c:v>
                </c:pt>
                <c:pt idx="9">
                  <c:v>84.369421625861619</c:v>
                </c:pt>
                <c:pt idx="10">
                  <c:v>86.365991135458088</c:v>
                </c:pt>
                <c:pt idx="11">
                  <c:v>88.532676797272373</c:v>
                </c:pt>
                <c:pt idx="12">
                  <c:v>91.552625280921845</c:v>
                </c:pt>
                <c:pt idx="13">
                  <c:v>93.079484698122002</c:v>
                </c:pt>
                <c:pt idx="14">
                  <c:v>93.965297254606838</c:v>
                </c:pt>
                <c:pt idx="15">
                  <c:v>94.876878877836745</c:v>
                </c:pt>
                <c:pt idx="16">
                  <c:v>95.110611698732228</c:v>
                </c:pt>
                <c:pt idx="17">
                  <c:v>95.260533375192608</c:v>
                </c:pt>
                <c:pt idx="18">
                  <c:v>95.351262165721209</c:v>
                </c:pt>
                <c:pt idx="19">
                  <c:v>95.39866677972644</c:v>
                </c:pt>
                <c:pt idx="20">
                  <c:v>95.41343611876772</c:v>
                </c:pt>
                <c:pt idx="21">
                  <c:v>95.403033161169589</c:v>
                </c:pt>
                <c:pt idx="22">
                  <c:v>95.372826456495048</c:v>
                </c:pt>
                <c:pt idx="23">
                  <c:v>95.326776592604929</c:v>
                </c:pt>
                <c:pt idx="24">
                  <c:v>95.267869278497031</c:v>
                </c:pt>
                <c:pt idx="25">
                  <c:v>95.198397834724517</c:v>
                </c:pt>
                <c:pt idx="26">
                  <c:v>95.120152836524284</c:v>
                </c:pt>
                <c:pt idx="27">
                  <c:v>95.034552663248689</c:v>
                </c:pt>
                <c:pt idx="28">
                  <c:v>94.972632270165946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8-479A-859F-D1F05465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44576"/>
        <c:axId val="875546496"/>
      </c:scatterChart>
      <c:valAx>
        <c:axId val="875544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Load (A)</a:t>
                </a:r>
              </a:p>
            </c:rich>
          </c:tx>
          <c:layout>
            <c:manualLayout>
              <c:xMode val="edge"/>
              <c:yMode val="edge"/>
              <c:x val="0.4239019706859683"/>
              <c:y val="0.937920395677335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546496"/>
        <c:crosses val="autoZero"/>
        <c:crossBetween val="midCat"/>
        <c:majorUnit val="0.5"/>
        <c:minorUnit val="0.25"/>
      </c:valAx>
      <c:valAx>
        <c:axId val="875546496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544576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43</xdr:row>
      <xdr:rowOff>47625</xdr:rowOff>
    </xdr:from>
    <xdr:to>
      <xdr:col>7</xdr:col>
      <xdr:colOff>552450</xdr:colOff>
      <xdr:row>69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38100</xdr:rowOff>
    </xdr:from>
    <xdr:to>
      <xdr:col>7</xdr:col>
      <xdr:colOff>400648</xdr:colOff>
      <xdr:row>12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8100"/>
          <a:ext cx="6982423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85725</xdr:colOff>
          <xdr:row>16</xdr:row>
          <xdr:rowOff>0</xdr:rowOff>
        </xdr:from>
        <xdr:to>
          <xdr:col>18</xdr:col>
          <xdr:colOff>304800</xdr:colOff>
          <xdr:row>42</xdr:row>
          <xdr:rowOff>76200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18</xdr:col>
      <xdr:colOff>152400</xdr:colOff>
      <xdr:row>17</xdr:row>
      <xdr:rowOff>0</xdr:rowOff>
    </xdr:from>
    <xdr:to>
      <xdr:col>20</xdr:col>
      <xdr:colOff>247650</xdr:colOff>
      <xdr:row>19</xdr:row>
      <xdr:rowOff>135310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92300" y="2914650"/>
          <a:ext cx="1314450" cy="459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28575</xdr:rowOff>
    </xdr:from>
    <xdr:to>
      <xdr:col>7</xdr:col>
      <xdr:colOff>600075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28574</xdr:rowOff>
    </xdr:from>
    <xdr:to>
      <xdr:col>7</xdr:col>
      <xdr:colOff>822885</xdr:colOff>
      <xdr:row>1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4"/>
          <a:ext cx="8204760" cy="212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3:T118"/>
  <sheetViews>
    <sheetView tabSelected="1" workbookViewId="0">
      <selection activeCell="B24" sqref="B24"/>
    </sheetView>
  </sheetViews>
  <sheetFormatPr defaultRowHeight="12.75"/>
  <cols>
    <col min="1" max="1" width="34.28515625" style="2" bestFit="1" customWidth="1"/>
    <col min="2" max="2" width="10.85546875" style="2" customWidth="1"/>
    <col min="3" max="3" width="7" style="2" customWidth="1"/>
    <col min="4" max="4" width="2.5703125" style="2" customWidth="1"/>
    <col min="5" max="5" width="25.28515625" style="2" customWidth="1"/>
    <col min="6" max="6" width="11.28515625" style="2" customWidth="1"/>
    <col min="7" max="7" width="9.140625" style="2" collapsed="1"/>
    <col min="8" max="9" width="9.140625" style="2"/>
    <col min="10" max="10" width="14.28515625" style="2" bestFit="1" customWidth="1"/>
    <col min="11" max="11" width="15" style="2" bestFit="1" customWidth="1"/>
    <col min="12" max="12" width="13.7109375" style="2" bestFit="1" customWidth="1"/>
    <col min="13" max="256" width="9.140625" style="2"/>
    <col min="257" max="257" width="34.28515625" style="2" bestFit="1" customWidth="1"/>
    <col min="258" max="258" width="10.85546875" style="2" customWidth="1"/>
    <col min="259" max="259" width="7" style="2" customWidth="1"/>
    <col min="260" max="260" width="2.5703125" style="2" customWidth="1"/>
    <col min="261" max="261" width="26" style="2" customWidth="1"/>
    <col min="262" max="262" width="10.140625" style="2" customWidth="1"/>
    <col min="263" max="265" width="9.140625" style="2"/>
    <col min="266" max="266" width="14.28515625" style="2" bestFit="1" customWidth="1"/>
    <col min="267" max="267" width="15" style="2" bestFit="1" customWidth="1"/>
    <col min="268" max="268" width="13.7109375" style="2" bestFit="1" customWidth="1"/>
    <col min="269" max="512" width="9.140625" style="2"/>
    <col min="513" max="513" width="34.28515625" style="2" bestFit="1" customWidth="1"/>
    <col min="514" max="514" width="10.85546875" style="2" customWidth="1"/>
    <col min="515" max="515" width="7" style="2" customWidth="1"/>
    <col min="516" max="516" width="2.5703125" style="2" customWidth="1"/>
    <col min="517" max="517" width="26" style="2" customWidth="1"/>
    <col min="518" max="518" width="10.140625" style="2" customWidth="1"/>
    <col min="519" max="521" width="9.140625" style="2"/>
    <col min="522" max="522" width="14.28515625" style="2" bestFit="1" customWidth="1"/>
    <col min="523" max="523" width="15" style="2" bestFit="1" customWidth="1"/>
    <col min="524" max="524" width="13.7109375" style="2" bestFit="1" customWidth="1"/>
    <col min="525" max="768" width="9.140625" style="2"/>
    <col min="769" max="769" width="34.28515625" style="2" bestFit="1" customWidth="1"/>
    <col min="770" max="770" width="10.85546875" style="2" customWidth="1"/>
    <col min="771" max="771" width="7" style="2" customWidth="1"/>
    <col min="772" max="772" width="2.5703125" style="2" customWidth="1"/>
    <col min="773" max="773" width="26" style="2" customWidth="1"/>
    <col min="774" max="774" width="10.140625" style="2" customWidth="1"/>
    <col min="775" max="777" width="9.140625" style="2"/>
    <col min="778" max="778" width="14.28515625" style="2" bestFit="1" customWidth="1"/>
    <col min="779" max="779" width="15" style="2" bestFit="1" customWidth="1"/>
    <col min="780" max="780" width="13.7109375" style="2" bestFit="1" customWidth="1"/>
    <col min="781" max="1024" width="9.140625" style="2"/>
    <col min="1025" max="1025" width="34.28515625" style="2" bestFit="1" customWidth="1"/>
    <col min="1026" max="1026" width="10.85546875" style="2" customWidth="1"/>
    <col min="1027" max="1027" width="7" style="2" customWidth="1"/>
    <col min="1028" max="1028" width="2.5703125" style="2" customWidth="1"/>
    <col min="1029" max="1029" width="26" style="2" customWidth="1"/>
    <col min="1030" max="1030" width="10.140625" style="2" customWidth="1"/>
    <col min="1031" max="1033" width="9.140625" style="2"/>
    <col min="1034" max="1034" width="14.28515625" style="2" bestFit="1" customWidth="1"/>
    <col min="1035" max="1035" width="15" style="2" bestFit="1" customWidth="1"/>
    <col min="1036" max="1036" width="13.7109375" style="2" bestFit="1" customWidth="1"/>
    <col min="1037" max="1280" width="9.140625" style="2"/>
    <col min="1281" max="1281" width="34.28515625" style="2" bestFit="1" customWidth="1"/>
    <col min="1282" max="1282" width="10.85546875" style="2" customWidth="1"/>
    <col min="1283" max="1283" width="7" style="2" customWidth="1"/>
    <col min="1284" max="1284" width="2.5703125" style="2" customWidth="1"/>
    <col min="1285" max="1285" width="26" style="2" customWidth="1"/>
    <col min="1286" max="1286" width="10.140625" style="2" customWidth="1"/>
    <col min="1287" max="1289" width="9.140625" style="2"/>
    <col min="1290" max="1290" width="14.28515625" style="2" bestFit="1" customWidth="1"/>
    <col min="1291" max="1291" width="15" style="2" bestFit="1" customWidth="1"/>
    <col min="1292" max="1292" width="13.7109375" style="2" bestFit="1" customWidth="1"/>
    <col min="1293" max="1536" width="9.140625" style="2"/>
    <col min="1537" max="1537" width="34.28515625" style="2" bestFit="1" customWidth="1"/>
    <col min="1538" max="1538" width="10.85546875" style="2" customWidth="1"/>
    <col min="1539" max="1539" width="7" style="2" customWidth="1"/>
    <col min="1540" max="1540" width="2.5703125" style="2" customWidth="1"/>
    <col min="1541" max="1541" width="26" style="2" customWidth="1"/>
    <col min="1542" max="1542" width="10.140625" style="2" customWidth="1"/>
    <col min="1543" max="1545" width="9.140625" style="2"/>
    <col min="1546" max="1546" width="14.28515625" style="2" bestFit="1" customWidth="1"/>
    <col min="1547" max="1547" width="15" style="2" bestFit="1" customWidth="1"/>
    <col min="1548" max="1548" width="13.7109375" style="2" bestFit="1" customWidth="1"/>
    <col min="1549" max="1792" width="9.140625" style="2"/>
    <col min="1793" max="1793" width="34.28515625" style="2" bestFit="1" customWidth="1"/>
    <col min="1794" max="1794" width="10.85546875" style="2" customWidth="1"/>
    <col min="1795" max="1795" width="7" style="2" customWidth="1"/>
    <col min="1796" max="1796" width="2.5703125" style="2" customWidth="1"/>
    <col min="1797" max="1797" width="26" style="2" customWidth="1"/>
    <col min="1798" max="1798" width="10.140625" style="2" customWidth="1"/>
    <col min="1799" max="1801" width="9.140625" style="2"/>
    <col min="1802" max="1802" width="14.28515625" style="2" bestFit="1" customWidth="1"/>
    <col min="1803" max="1803" width="15" style="2" bestFit="1" customWidth="1"/>
    <col min="1804" max="1804" width="13.7109375" style="2" bestFit="1" customWidth="1"/>
    <col min="1805" max="2048" width="9.140625" style="2"/>
    <col min="2049" max="2049" width="34.28515625" style="2" bestFit="1" customWidth="1"/>
    <col min="2050" max="2050" width="10.85546875" style="2" customWidth="1"/>
    <col min="2051" max="2051" width="7" style="2" customWidth="1"/>
    <col min="2052" max="2052" width="2.5703125" style="2" customWidth="1"/>
    <col min="2053" max="2053" width="26" style="2" customWidth="1"/>
    <col min="2054" max="2054" width="10.140625" style="2" customWidth="1"/>
    <col min="2055" max="2057" width="9.140625" style="2"/>
    <col min="2058" max="2058" width="14.28515625" style="2" bestFit="1" customWidth="1"/>
    <col min="2059" max="2059" width="15" style="2" bestFit="1" customWidth="1"/>
    <col min="2060" max="2060" width="13.7109375" style="2" bestFit="1" customWidth="1"/>
    <col min="2061" max="2304" width="9.140625" style="2"/>
    <col min="2305" max="2305" width="34.28515625" style="2" bestFit="1" customWidth="1"/>
    <col min="2306" max="2306" width="10.85546875" style="2" customWidth="1"/>
    <col min="2307" max="2307" width="7" style="2" customWidth="1"/>
    <col min="2308" max="2308" width="2.5703125" style="2" customWidth="1"/>
    <col min="2309" max="2309" width="26" style="2" customWidth="1"/>
    <col min="2310" max="2310" width="10.140625" style="2" customWidth="1"/>
    <col min="2311" max="2313" width="9.140625" style="2"/>
    <col min="2314" max="2314" width="14.28515625" style="2" bestFit="1" customWidth="1"/>
    <col min="2315" max="2315" width="15" style="2" bestFit="1" customWidth="1"/>
    <col min="2316" max="2316" width="13.7109375" style="2" bestFit="1" customWidth="1"/>
    <col min="2317" max="2560" width="9.140625" style="2"/>
    <col min="2561" max="2561" width="34.28515625" style="2" bestFit="1" customWidth="1"/>
    <col min="2562" max="2562" width="10.85546875" style="2" customWidth="1"/>
    <col min="2563" max="2563" width="7" style="2" customWidth="1"/>
    <col min="2564" max="2564" width="2.5703125" style="2" customWidth="1"/>
    <col min="2565" max="2565" width="26" style="2" customWidth="1"/>
    <col min="2566" max="2566" width="10.140625" style="2" customWidth="1"/>
    <col min="2567" max="2569" width="9.140625" style="2"/>
    <col min="2570" max="2570" width="14.28515625" style="2" bestFit="1" customWidth="1"/>
    <col min="2571" max="2571" width="15" style="2" bestFit="1" customWidth="1"/>
    <col min="2572" max="2572" width="13.7109375" style="2" bestFit="1" customWidth="1"/>
    <col min="2573" max="2816" width="9.140625" style="2"/>
    <col min="2817" max="2817" width="34.28515625" style="2" bestFit="1" customWidth="1"/>
    <col min="2818" max="2818" width="10.85546875" style="2" customWidth="1"/>
    <col min="2819" max="2819" width="7" style="2" customWidth="1"/>
    <col min="2820" max="2820" width="2.5703125" style="2" customWidth="1"/>
    <col min="2821" max="2821" width="26" style="2" customWidth="1"/>
    <col min="2822" max="2822" width="10.140625" style="2" customWidth="1"/>
    <col min="2823" max="2825" width="9.140625" style="2"/>
    <col min="2826" max="2826" width="14.28515625" style="2" bestFit="1" customWidth="1"/>
    <col min="2827" max="2827" width="15" style="2" bestFit="1" customWidth="1"/>
    <col min="2828" max="2828" width="13.7109375" style="2" bestFit="1" customWidth="1"/>
    <col min="2829" max="3072" width="9.140625" style="2"/>
    <col min="3073" max="3073" width="34.28515625" style="2" bestFit="1" customWidth="1"/>
    <col min="3074" max="3074" width="10.85546875" style="2" customWidth="1"/>
    <col min="3075" max="3075" width="7" style="2" customWidth="1"/>
    <col min="3076" max="3076" width="2.5703125" style="2" customWidth="1"/>
    <col min="3077" max="3077" width="26" style="2" customWidth="1"/>
    <col min="3078" max="3078" width="10.140625" style="2" customWidth="1"/>
    <col min="3079" max="3081" width="9.140625" style="2"/>
    <col min="3082" max="3082" width="14.28515625" style="2" bestFit="1" customWidth="1"/>
    <col min="3083" max="3083" width="15" style="2" bestFit="1" customWidth="1"/>
    <col min="3084" max="3084" width="13.7109375" style="2" bestFit="1" customWidth="1"/>
    <col min="3085" max="3328" width="9.140625" style="2"/>
    <col min="3329" max="3329" width="34.28515625" style="2" bestFit="1" customWidth="1"/>
    <col min="3330" max="3330" width="10.85546875" style="2" customWidth="1"/>
    <col min="3331" max="3331" width="7" style="2" customWidth="1"/>
    <col min="3332" max="3332" width="2.5703125" style="2" customWidth="1"/>
    <col min="3333" max="3333" width="26" style="2" customWidth="1"/>
    <col min="3334" max="3334" width="10.140625" style="2" customWidth="1"/>
    <col min="3335" max="3337" width="9.140625" style="2"/>
    <col min="3338" max="3338" width="14.28515625" style="2" bestFit="1" customWidth="1"/>
    <col min="3339" max="3339" width="15" style="2" bestFit="1" customWidth="1"/>
    <col min="3340" max="3340" width="13.7109375" style="2" bestFit="1" customWidth="1"/>
    <col min="3341" max="3584" width="9.140625" style="2"/>
    <col min="3585" max="3585" width="34.28515625" style="2" bestFit="1" customWidth="1"/>
    <col min="3586" max="3586" width="10.85546875" style="2" customWidth="1"/>
    <col min="3587" max="3587" width="7" style="2" customWidth="1"/>
    <col min="3588" max="3588" width="2.5703125" style="2" customWidth="1"/>
    <col min="3589" max="3589" width="26" style="2" customWidth="1"/>
    <col min="3590" max="3590" width="10.140625" style="2" customWidth="1"/>
    <col min="3591" max="3593" width="9.140625" style="2"/>
    <col min="3594" max="3594" width="14.28515625" style="2" bestFit="1" customWidth="1"/>
    <col min="3595" max="3595" width="15" style="2" bestFit="1" customWidth="1"/>
    <col min="3596" max="3596" width="13.7109375" style="2" bestFit="1" customWidth="1"/>
    <col min="3597" max="3840" width="9.140625" style="2"/>
    <col min="3841" max="3841" width="34.28515625" style="2" bestFit="1" customWidth="1"/>
    <col min="3842" max="3842" width="10.85546875" style="2" customWidth="1"/>
    <col min="3843" max="3843" width="7" style="2" customWidth="1"/>
    <col min="3844" max="3844" width="2.5703125" style="2" customWidth="1"/>
    <col min="3845" max="3845" width="26" style="2" customWidth="1"/>
    <col min="3846" max="3846" width="10.140625" style="2" customWidth="1"/>
    <col min="3847" max="3849" width="9.140625" style="2"/>
    <col min="3850" max="3850" width="14.28515625" style="2" bestFit="1" customWidth="1"/>
    <col min="3851" max="3851" width="15" style="2" bestFit="1" customWidth="1"/>
    <col min="3852" max="3852" width="13.7109375" style="2" bestFit="1" customWidth="1"/>
    <col min="3853" max="4096" width="9.140625" style="2"/>
    <col min="4097" max="4097" width="34.28515625" style="2" bestFit="1" customWidth="1"/>
    <col min="4098" max="4098" width="10.85546875" style="2" customWidth="1"/>
    <col min="4099" max="4099" width="7" style="2" customWidth="1"/>
    <col min="4100" max="4100" width="2.5703125" style="2" customWidth="1"/>
    <col min="4101" max="4101" width="26" style="2" customWidth="1"/>
    <col min="4102" max="4102" width="10.140625" style="2" customWidth="1"/>
    <col min="4103" max="4105" width="9.140625" style="2"/>
    <col min="4106" max="4106" width="14.28515625" style="2" bestFit="1" customWidth="1"/>
    <col min="4107" max="4107" width="15" style="2" bestFit="1" customWidth="1"/>
    <col min="4108" max="4108" width="13.7109375" style="2" bestFit="1" customWidth="1"/>
    <col min="4109" max="4352" width="9.140625" style="2"/>
    <col min="4353" max="4353" width="34.28515625" style="2" bestFit="1" customWidth="1"/>
    <col min="4354" max="4354" width="10.85546875" style="2" customWidth="1"/>
    <col min="4355" max="4355" width="7" style="2" customWidth="1"/>
    <col min="4356" max="4356" width="2.5703125" style="2" customWidth="1"/>
    <col min="4357" max="4357" width="26" style="2" customWidth="1"/>
    <col min="4358" max="4358" width="10.140625" style="2" customWidth="1"/>
    <col min="4359" max="4361" width="9.140625" style="2"/>
    <col min="4362" max="4362" width="14.28515625" style="2" bestFit="1" customWidth="1"/>
    <col min="4363" max="4363" width="15" style="2" bestFit="1" customWidth="1"/>
    <col min="4364" max="4364" width="13.7109375" style="2" bestFit="1" customWidth="1"/>
    <col min="4365" max="4608" width="9.140625" style="2"/>
    <col min="4609" max="4609" width="34.28515625" style="2" bestFit="1" customWidth="1"/>
    <col min="4610" max="4610" width="10.85546875" style="2" customWidth="1"/>
    <col min="4611" max="4611" width="7" style="2" customWidth="1"/>
    <col min="4612" max="4612" width="2.5703125" style="2" customWidth="1"/>
    <col min="4613" max="4613" width="26" style="2" customWidth="1"/>
    <col min="4614" max="4614" width="10.140625" style="2" customWidth="1"/>
    <col min="4615" max="4617" width="9.140625" style="2"/>
    <col min="4618" max="4618" width="14.28515625" style="2" bestFit="1" customWidth="1"/>
    <col min="4619" max="4619" width="15" style="2" bestFit="1" customWidth="1"/>
    <col min="4620" max="4620" width="13.7109375" style="2" bestFit="1" customWidth="1"/>
    <col min="4621" max="4864" width="9.140625" style="2"/>
    <col min="4865" max="4865" width="34.28515625" style="2" bestFit="1" customWidth="1"/>
    <col min="4866" max="4866" width="10.85546875" style="2" customWidth="1"/>
    <col min="4867" max="4867" width="7" style="2" customWidth="1"/>
    <col min="4868" max="4868" width="2.5703125" style="2" customWidth="1"/>
    <col min="4869" max="4869" width="26" style="2" customWidth="1"/>
    <col min="4870" max="4870" width="10.140625" style="2" customWidth="1"/>
    <col min="4871" max="4873" width="9.140625" style="2"/>
    <col min="4874" max="4874" width="14.28515625" style="2" bestFit="1" customWidth="1"/>
    <col min="4875" max="4875" width="15" style="2" bestFit="1" customWidth="1"/>
    <col min="4876" max="4876" width="13.7109375" style="2" bestFit="1" customWidth="1"/>
    <col min="4877" max="5120" width="9.140625" style="2"/>
    <col min="5121" max="5121" width="34.28515625" style="2" bestFit="1" customWidth="1"/>
    <col min="5122" max="5122" width="10.85546875" style="2" customWidth="1"/>
    <col min="5123" max="5123" width="7" style="2" customWidth="1"/>
    <col min="5124" max="5124" width="2.5703125" style="2" customWidth="1"/>
    <col min="5125" max="5125" width="26" style="2" customWidth="1"/>
    <col min="5126" max="5126" width="10.140625" style="2" customWidth="1"/>
    <col min="5127" max="5129" width="9.140625" style="2"/>
    <col min="5130" max="5130" width="14.28515625" style="2" bestFit="1" customWidth="1"/>
    <col min="5131" max="5131" width="15" style="2" bestFit="1" customWidth="1"/>
    <col min="5132" max="5132" width="13.7109375" style="2" bestFit="1" customWidth="1"/>
    <col min="5133" max="5376" width="9.140625" style="2"/>
    <col min="5377" max="5377" width="34.28515625" style="2" bestFit="1" customWidth="1"/>
    <col min="5378" max="5378" width="10.85546875" style="2" customWidth="1"/>
    <col min="5379" max="5379" width="7" style="2" customWidth="1"/>
    <col min="5380" max="5380" width="2.5703125" style="2" customWidth="1"/>
    <col min="5381" max="5381" width="26" style="2" customWidth="1"/>
    <col min="5382" max="5382" width="10.140625" style="2" customWidth="1"/>
    <col min="5383" max="5385" width="9.140625" style="2"/>
    <col min="5386" max="5386" width="14.28515625" style="2" bestFit="1" customWidth="1"/>
    <col min="5387" max="5387" width="15" style="2" bestFit="1" customWidth="1"/>
    <col min="5388" max="5388" width="13.7109375" style="2" bestFit="1" customWidth="1"/>
    <col min="5389" max="5632" width="9.140625" style="2"/>
    <col min="5633" max="5633" width="34.28515625" style="2" bestFit="1" customWidth="1"/>
    <col min="5634" max="5634" width="10.85546875" style="2" customWidth="1"/>
    <col min="5635" max="5635" width="7" style="2" customWidth="1"/>
    <col min="5636" max="5636" width="2.5703125" style="2" customWidth="1"/>
    <col min="5637" max="5637" width="26" style="2" customWidth="1"/>
    <col min="5638" max="5638" width="10.140625" style="2" customWidth="1"/>
    <col min="5639" max="5641" width="9.140625" style="2"/>
    <col min="5642" max="5642" width="14.28515625" style="2" bestFit="1" customWidth="1"/>
    <col min="5643" max="5643" width="15" style="2" bestFit="1" customWidth="1"/>
    <col min="5644" max="5644" width="13.7109375" style="2" bestFit="1" customWidth="1"/>
    <col min="5645" max="5888" width="9.140625" style="2"/>
    <col min="5889" max="5889" width="34.28515625" style="2" bestFit="1" customWidth="1"/>
    <col min="5890" max="5890" width="10.85546875" style="2" customWidth="1"/>
    <col min="5891" max="5891" width="7" style="2" customWidth="1"/>
    <col min="5892" max="5892" width="2.5703125" style="2" customWidth="1"/>
    <col min="5893" max="5893" width="26" style="2" customWidth="1"/>
    <col min="5894" max="5894" width="10.140625" style="2" customWidth="1"/>
    <col min="5895" max="5897" width="9.140625" style="2"/>
    <col min="5898" max="5898" width="14.28515625" style="2" bestFit="1" customWidth="1"/>
    <col min="5899" max="5899" width="15" style="2" bestFit="1" customWidth="1"/>
    <col min="5900" max="5900" width="13.7109375" style="2" bestFit="1" customWidth="1"/>
    <col min="5901" max="6144" width="9.140625" style="2"/>
    <col min="6145" max="6145" width="34.28515625" style="2" bestFit="1" customWidth="1"/>
    <col min="6146" max="6146" width="10.85546875" style="2" customWidth="1"/>
    <col min="6147" max="6147" width="7" style="2" customWidth="1"/>
    <col min="6148" max="6148" width="2.5703125" style="2" customWidth="1"/>
    <col min="6149" max="6149" width="26" style="2" customWidth="1"/>
    <col min="6150" max="6150" width="10.140625" style="2" customWidth="1"/>
    <col min="6151" max="6153" width="9.140625" style="2"/>
    <col min="6154" max="6154" width="14.28515625" style="2" bestFit="1" customWidth="1"/>
    <col min="6155" max="6155" width="15" style="2" bestFit="1" customWidth="1"/>
    <col min="6156" max="6156" width="13.7109375" style="2" bestFit="1" customWidth="1"/>
    <col min="6157" max="6400" width="9.140625" style="2"/>
    <col min="6401" max="6401" width="34.28515625" style="2" bestFit="1" customWidth="1"/>
    <col min="6402" max="6402" width="10.85546875" style="2" customWidth="1"/>
    <col min="6403" max="6403" width="7" style="2" customWidth="1"/>
    <col min="6404" max="6404" width="2.5703125" style="2" customWidth="1"/>
    <col min="6405" max="6405" width="26" style="2" customWidth="1"/>
    <col min="6406" max="6406" width="10.140625" style="2" customWidth="1"/>
    <col min="6407" max="6409" width="9.140625" style="2"/>
    <col min="6410" max="6410" width="14.28515625" style="2" bestFit="1" customWidth="1"/>
    <col min="6411" max="6411" width="15" style="2" bestFit="1" customWidth="1"/>
    <col min="6412" max="6412" width="13.7109375" style="2" bestFit="1" customWidth="1"/>
    <col min="6413" max="6656" width="9.140625" style="2"/>
    <col min="6657" max="6657" width="34.28515625" style="2" bestFit="1" customWidth="1"/>
    <col min="6658" max="6658" width="10.85546875" style="2" customWidth="1"/>
    <col min="6659" max="6659" width="7" style="2" customWidth="1"/>
    <col min="6660" max="6660" width="2.5703125" style="2" customWidth="1"/>
    <col min="6661" max="6661" width="26" style="2" customWidth="1"/>
    <col min="6662" max="6662" width="10.140625" style="2" customWidth="1"/>
    <col min="6663" max="6665" width="9.140625" style="2"/>
    <col min="6666" max="6666" width="14.28515625" style="2" bestFit="1" customWidth="1"/>
    <col min="6667" max="6667" width="15" style="2" bestFit="1" customWidth="1"/>
    <col min="6668" max="6668" width="13.7109375" style="2" bestFit="1" customWidth="1"/>
    <col min="6669" max="6912" width="9.140625" style="2"/>
    <col min="6913" max="6913" width="34.28515625" style="2" bestFit="1" customWidth="1"/>
    <col min="6914" max="6914" width="10.85546875" style="2" customWidth="1"/>
    <col min="6915" max="6915" width="7" style="2" customWidth="1"/>
    <col min="6916" max="6916" width="2.5703125" style="2" customWidth="1"/>
    <col min="6917" max="6917" width="26" style="2" customWidth="1"/>
    <col min="6918" max="6918" width="10.140625" style="2" customWidth="1"/>
    <col min="6919" max="6921" width="9.140625" style="2"/>
    <col min="6922" max="6922" width="14.28515625" style="2" bestFit="1" customWidth="1"/>
    <col min="6923" max="6923" width="15" style="2" bestFit="1" customWidth="1"/>
    <col min="6924" max="6924" width="13.7109375" style="2" bestFit="1" customWidth="1"/>
    <col min="6925" max="7168" width="9.140625" style="2"/>
    <col min="7169" max="7169" width="34.28515625" style="2" bestFit="1" customWidth="1"/>
    <col min="7170" max="7170" width="10.85546875" style="2" customWidth="1"/>
    <col min="7171" max="7171" width="7" style="2" customWidth="1"/>
    <col min="7172" max="7172" width="2.5703125" style="2" customWidth="1"/>
    <col min="7173" max="7173" width="26" style="2" customWidth="1"/>
    <col min="7174" max="7174" width="10.140625" style="2" customWidth="1"/>
    <col min="7175" max="7177" width="9.140625" style="2"/>
    <col min="7178" max="7178" width="14.28515625" style="2" bestFit="1" customWidth="1"/>
    <col min="7179" max="7179" width="15" style="2" bestFit="1" customWidth="1"/>
    <col min="7180" max="7180" width="13.7109375" style="2" bestFit="1" customWidth="1"/>
    <col min="7181" max="7424" width="9.140625" style="2"/>
    <col min="7425" max="7425" width="34.28515625" style="2" bestFit="1" customWidth="1"/>
    <col min="7426" max="7426" width="10.85546875" style="2" customWidth="1"/>
    <col min="7427" max="7427" width="7" style="2" customWidth="1"/>
    <col min="7428" max="7428" width="2.5703125" style="2" customWidth="1"/>
    <col min="7429" max="7429" width="26" style="2" customWidth="1"/>
    <col min="7430" max="7430" width="10.140625" style="2" customWidth="1"/>
    <col min="7431" max="7433" width="9.140625" style="2"/>
    <col min="7434" max="7434" width="14.28515625" style="2" bestFit="1" customWidth="1"/>
    <col min="7435" max="7435" width="15" style="2" bestFit="1" customWidth="1"/>
    <col min="7436" max="7436" width="13.7109375" style="2" bestFit="1" customWidth="1"/>
    <col min="7437" max="7680" width="9.140625" style="2"/>
    <col min="7681" max="7681" width="34.28515625" style="2" bestFit="1" customWidth="1"/>
    <col min="7682" max="7682" width="10.85546875" style="2" customWidth="1"/>
    <col min="7683" max="7683" width="7" style="2" customWidth="1"/>
    <col min="7684" max="7684" width="2.5703125" style="2" customWidth="1"/>
    <col min="7685" max="7685" width="26" style="2" customWidth="1"/>
    <col min="7686" max="7686" width="10.140625" style="2" customWidth="1"/>
    <col min="7687" max="7689" width="9.140625" style="2"/>
    <col min="7690" max="7690" width="14.28515625" style="2" bestFit="1" customWidth="1"/>
    <col min="7691" max="7691" width="15" style="2" bestFit="1" customWidth="1"/>
    <col min="7692" max="7692" width="13.7109375" style="2" bestFit="1" customWidth="1"/>
    <col min="7693" max="7936" width="9.140625" style="2"/>
    <col min="7937" max="7937" width="34.28515625" style="2" bestFit="1" customWidth="1"/>
    <col min="7938" max="7938" width="10.85546875" style="2" customWidth="1"/>
    <col min="7939" max="7939" width="7" style="2" customWidth="1"/>
    <col min="7940" max="7940" width="2.5703125" style="2" customWidth="1"/>
    <col min="7941" max="7941" width="26" style="2" customWidth="1"/>
    <col min="7942" max="7942" width="10.140625" style="2" customWidth="1"/>
    <col min="7943" max="7945" width="9.140625" style="2"/>
    <col min="7946" max="7946" width="14.28515625" style="2" bestFit="1" customWidth="1"/>
    <col min="7947" max="7947" width="15" style="2" bestFit="1" customWidth="1"/>
    <col min="7948" max="7948" width="13.7109375" style="2" bestFit="1" customWidth="1"/>
    <col min="7949" max="8192" width="9.140625" style="2"/>
    <col min="8193" max="8193" width="34.28515625" style="2" bestFit="1" customWidth="1"/>
    <col min="8194" max="8194" width="10.85546875" style="2" customWidth="1"/>
    <col min="8195" max="8195" width="7" style="2" customWidth="1"/>
    <col min="8196" max="8196" width="2.5703125" style="2" customWidth="1"/>
    <col min="8197" max="8197" width="26" style="2" customWidth="1"/>
    <col min="8198" max="8198" width="10.140625" style="2" customWidth="1"/>
    <col min="8199" max="8201" width="9.140625" style="2"/>
    <col min="8202" max="8202" width="14.28515625" style="2" bestFit="1" customWidth="1"/>
    <col min="8203" max="8203" width="15" style="2" bestFit="1" customWidth="1"/>
    <col min="8204" max="8204" width="13.7109375" style="2" bestFit="1" customWidth="1"/>
    <col min="8205" max="8448" width="9.140625" style="2"/>
    <col min="8449" max="8449" width="34.28515625" style="2" bestFit="1" customWidth="1"/>
    <col min="8450" max="8450" width="10.85546875" style="2" customWidth="1"/>
    <col min="8451" max="8451" width="7" style="2" customWidth="1"/>
    <col min="8452" max="8452" width="2.5703125" style="2" customWidth="1"/>
    <col min="8453" max="8453" width="26" style="2" customWidth="1"/>
    <col min="8454" max="8454" width="10.140625" style="2" customWidth="1"/>
    <col min="8455" max="8457" width="9.140625" style="2"/>
    <col min="8458" max="8458" width="14.28515625" style="2" bestFit="1" customWidth="1"/>
    <col min="8459" max="8459" width="15" style="2" bestFit="1" customWidth="1"/>
    <col min="8460" max="8460" width="13.7109375" style="2" bestFit="1" customWidth="1"/>
    <col min="8461" max="8704" width="9.140625" style="2"/>
    <col min="8705" max="8705" width="34.28515625" style="2" bestFit="1" customWidth="1"/>
    <col min="8706" max="8706" width="10.85546875" style="2" customWidth="1"/>
    <col min="8707" max="8707" width="7" style="2" customWidth="1"/>
    <col min="8708" max="8708" width="2.5703125" style="2" customWidth="1"/>
    <col min="8709" max="8709" width="26" style="2" customWidth="1"/>
    <col min="8710" max="8710" width="10.140625" style="2" customWidth="1"/>
    <col min="8711" max="8713" width="9.140625" style="2"/>
    <col min="8714" max="8714" width="14.28515625" style="2" bestFit="1" customWidth="1"/>
    <col min="8715" max="8715" width="15" style="2" bestFit="1" customWidth="1"/>
    <col min="8716" max="8716" width="13.7109375" style="2" bestFit="1" customWidth="1"/>
    <col min="8717" max="8960" width="9.140625" style="2"/>
    <col min="8961" max="8961" width="34.28515625" style="2" bestFit="1" customWidth="1"/>
    <col min="8962" max="8962" width="10.85546875" style="2" customWidth="1"/>
    <col min="8963" max="8963" width="7" style="2" customWidth="1"/>
    <col min="8964" max="8964" width="2.5703125" style="2" customWidth="1"/>
    <col min="8965" max="8965" width="26" style="2" customWidth="1"/>
    <col min="8966" max="8966" width="10.140625" style="2" customWidth="1"/>
    <col min="8967" max="8969" width="9.140625" style="2"/>
    <col min="8970" max="8970" width="14.28515625" style="2" bestFit="1" customWidth="1"/>
    <col min="8971" max="8971" width="15" style="2" bestFit="1" customWidth="1"/>
    <col min="8972" max="8972" width="13.7109375" style="2" bestFit="1" customWidth="1"/>
    <col min="8973" max="9216" width="9.140625" style="2"/>
    <col min="9217" max="9217" width="34.28515625" style="2" bestFit="1" customWidth="1"/>
    <col min="9218" max="9218" width="10.85546875" style="2" customWidth="1"/>
    <col min="9219" max="9219" width="7" style="2" customWidth="1"/>
    <col min="9220" max="9220" width="2.5703125" style="2" customWidth="1"/>
    <col min="9221" max="9221" width="26" style="2" customWidth="1"/>
    <col min="9222" max="9222" width="10.140625" style="2" customWidth="1"/>
    <col min="9223" max="9225" width="9.140625" style="2"/>
    <col min="9226" max="9226" width="14.28515625" style="2" bestFit="1" customWidth="1"/>
    <col min="9227" max="9227" width="15" style="2" bestFit="1" customWidth="1"/>
    <col min="9228" max="9228" width="13.7109375" style="2" bestFit="1" customWidth="1"/>
    <col min="9229" max="9472" width="9.140625" style="2"/>
    <col min="9473" max="9473" width="34.28515625" style="2" bestFit="1" customWidth="1"/>
    <col min="9474" max="9474" width="10.85546875" style="2" customWidth="1"/>
    <col min="9475" max="9475" width="7" style="2" customWidth="1"/>
    <col min="9476" max="9476" width="2.5703125" style="2" customWidth="1"/>
    <col min="9477" max="9477" width="26" style="2" customWidth="1"/>
    <col min="9478" max="9478" width="10.140625" style="2" customWidth="1"/>
    <col min="9479" max="9481" width="9.140625" style="2"/>
    <col min="9482" max="9482" width="14.28515625" style="2" bestFit="1" customWidth="1"/>
    <col min="9483" max="9483" width="15" style="2" bestFit="1" customWidth="1"/>
    <col min="9484" max="9484" width="13.7109375" style="2" bestFit="1" customWidth="1"/>
    <col min="9485" max="9728" width="9.140625" style="2"/>
    <col min="9729" max="9729" width="34.28515625" style="2" bestFit="1" customWidth="1"/>
    <col min="9730" max="9730" width="10.85546875" style="2" customWidth="1"/>
    <col min="9731" max="9731" width="7" style="2" customWidth="1"/>
    <col min="9732" max="9732" width="2.5703125" style="2" customWidth="1"/>
    <col min="9733" max="9733" width="26" style="2" customWidth="1"/>
    <col min="9734" max="9734" width="10.140625" style="2" customWidth="1"/>
    <col min="9735" max="9737" width="9.140625" style="2"/>
    <col min="9738" max="9738" width="14.28515625" style="2" bestFit="1" customWidth="1"/>
    <col min="9739" max="9739" width="15" style="2" bestFit="1" customWidth="1"/>
    <col min="9740" max="9740" width="13.7109375" style="2" bestFit="1" customWidth="1"/>
    <col min="9741" max="9984" width="9.140625" style="2"/>
    <col min="9985" max="9985" width="34.28515625" style="2" bestFit="1" customWidth="1"/>
    <col min="9986" max="9986" width="10.85546875" style="2" customWidth="1"/>
    <col min="9987" max="9987" width="7" style="2" customWidth="1"/>
    <col min="9988" max="9988" width="2.5703125" style="2" customWidth="1"/>
    <col min="9989" max="9989" width="26" style="2" customWidth="1"/>
    <col min="9990" max="9990" width="10.140625" style="2" customWidth="1"/>
    <col min="9991" max="9993" width="9.140625" style="2"/>
    <col min="9994" max="9994" width="14.28515625" style="2" bestFit="1" customWidth="1"/>
    <col min="9995" max="9995" width="15" style="2" bestFit="1" customWidth="1"/>
    <col min="9996" max="9996" width="13.7109375" style="2" bestFit="1" customWidth="1"/>
    <col min="9997" max="10240" width="9.140625" style="2"/>
    <col min="10241" max="10241" width="34.28515625" style="2" bestFit="1" customWidth="1"/>
    <col min="10242" max="10242" width="10.85546875" style="2" customWidth="1"/>
    <col min="10243" max="10243" width="7" style="2" customWidth="1"/>
    <col min="10244" max="10244" width="2.5703125" style="2" customWidth="1"/>
    <col min="10245" max="10245" width="26" style="2" customWidth="1"/>
    <col min="10246" max="10246" width="10.140625" style="2" customWidth="1"/>
    <col min="10247" max="10249" width="9.140625" style="2"/>
    <col min="10250" max="10250" width="14.28515625" style="2" bestFit="1" customWidth="1"/>
    <col min="10251" max="10251" width="15" style="2" bestFit="1" customWidth="1"/>
    <col min="10252" max="10252" width="13.7109375" style="2" bestFit="1" customWidth="1"/>
    <col min="10253" max="10496" width="9.140625" style="2"/>
    <col min="10497" max="10497" width="34.28515625" style="2" bestFit="1" customWidth="1"/>
    <col min="10498" max="10498" width="10.85546875" style="2" customWidth="1"/>
    <col min="10499" max="10499" width="7" style="2" customWidth="1"/>
    <col min="10500" max="10500" width="2.5703125" style="2" customWidth="1"/>
    <col min="10501" max="10501" width="26" style="2" customWidth="1"/>
    <col min="10502" max="10502" width="10.140625" style="2" customWidth="1"/>
    <col min="10503" max="10505" width="9.140625" style="2"/>
    <col min="10506" max="10506" width="14.28515625" style="2" bestFit="1" customWidth="1"/>
    <col min="10507" max="10507" width="15" style="2" bestFit="1" customWidth="1"/>
    <col min="10508" max="10508" width="13.7109375" style="2" bestFit="1" customWidth="1"/>
    <col min="10509" max="10752" width="9.140625" style="2"/>
    <col min="10753" max="10753" width="34.28515625" style="2" bestFit="1" customWidth="1"/>
    <col min="10754" max="10754" width="10.85546875" style="2" customWidth="1"/>
    <col min="10755" max="10755" width="7" style="2" customWidth="1"/>
    <col min="10756" max="10756" width="2.5703125" style="2" customWidth="1"/>
    <col min="10757" max="10757" width="26" style="2" customWidth="1"/>
    <col min="10758" max="10758" width="10.140625" style="2" customWidth="1"/>
    <col min="10759" max="10761" width="9.140625" style="2"/>
    <col min="10762" max="10762" width="14.28515625" style="2" bestFit="1" customWidth="1"/>
    <col min="10763" max="10763" width="15" style="2" bestFit="1" customWidth="1"/>
    <col min="10764" max="10764" width="13.7109375" style="2" bestFit="1" customWidth="1"/>
    <col min="10765" max="11008" width="9.140625" style="2"/>
    <col min="11009" max="11009" width="34.28515625" style="2" bestFit="1" customWidth="1"/>
    <col min="11010" max="11010" width="10.85546875" style="2" customWidth="1"/>
    <col min="11011" max="11011" width="7" style="2" customWidth="1"/>
    <col min="11012" max="11012" width="2.5703125" style="2" customWidth="1"/>
    <col min="11013" max="11013" width="26" style="2" customWidth="1"/>
    <col min="11014" max="11014" width="10.140625" style="2" customWidth="1"/>
    <col min="11015" max="11017" width="9.140625" style="2"/>
    <col min="11018" max="11018" width="14.28515625" style="2" bestFit="1" customWidth="1"/>
    <col min="11019" max="11019" width="15" style="2" bestFit="1" customWidth="1"/>
    <col min="11020" max="11020" width="13.7109375" style="2" bestFit="1" customWidth="1"/>
    <col min="11021" max="11264" width="9.140625" style="2"/>
    <col min="11265" max="11265" width="34.28515625" style="2" bestFit="1" customWidth="1"/>
    <col min="11266" max="11266" width="10.85546875" style="2" customWidth="1"/>
    <col min="11267" max="11267" width="7" style="2" customWidth="1"/>
    <col min="11268" max="11268" width="2.5703125" style="2" customWidth="1"/>
    <col min="11269" max="11269" width="26" style="2" customWidth="1"/>
    <col min="11270" max="11270" width="10.140625" style="2" customWidth="1"/>
    <col min="11271" max="11273" width="9.140625" style="2"/>
    <col min="11274" max="11274" width="14.28515625" style="2" bestFit="1" customWidth="1"/>
    <col min="11275" max="11275" width="15" style="2" bestFit="1" customWidth="1"/>
    <col min="11276" max="11276" width="13.7109375" style="2" bestFit="1" customWidth="1"/>
    <col min="11277" max="11520" width="9.140625" style="2"/>
    <col min="11521" max="11521" width="34.28515625" style="2" bestFit="1" customWidth="1"/>
    <col min="11522" max="11522" width="10.85546875" style="2" customWidth="1"/>
    <col min="11523" max="11523" width="7" style="2" customWidth="1"/>
    <col min="11524" max="11524" width="2.5703125" style="2" customWidth="1"/>
    <col min="11525" max="11525" width="26" style="2" customWidth="1"/>
    <col min="11526" max="11526" width="10.140625" style="2" customWidth="1"/>
    <col min="11527" max="11529" width="9.140625" style="2"/>
    <col min="11530" max="11530" width="14.28515625" style="2" bestFit="1" customWidth="1"/>
    <col min="11531" max="11531" width="15" style="2" bestFit="1" customWidth="1"/>
    <col min="11532" max="11532" width="13.7109375" style="2" bestFit="1" customWidth="1"/>
    <col min="11533" max="11776" width="9.140625" style="2"/>
    <col min="11777" max="11777" width="34.28515625" style="2" bestFit="1" customWidth="1"/>
    <col min="11778" max="11778" width="10.85546875" style="2" customWidth="1"/>
    <col min="11779" max="11779" width="7" style="2" customWidth="1"/>
    <col min="11780" max="11780" width="2.5703125" style="2" customWidth="1"/>
    <col min="11781" max="11781" width="26" style="2" customWidth="1"/>
    <col min="11782" max="11782" width="10.140625" style="2" customWidth="1"/>
    <col min="11783" max="11785" width="9.140625" style="2"/>
    <col min="11786" max="11786" width="14.28515625" style="2" bestFit="1" customWidth="1"/>
    <col min="11787" max="11787" width="15" style="2" bestFit="1" customWidth="1"/>
    <col min="11788" max="11788" width="13.7109375" style="2" bestFit="1" customWidth="1"/>
    <col min="11789" max="12032" width="9.140625" style="2"/>
    <col min="12033" max="12033" width="34.28515625" style="2" bestFit="1" customWidth="1"/>
    <col min="12034" max="12034" width="10.85546875" style="2" customWidth="1"/>
    <col min="12035" max="12035" width="7" style="2" customWidth="1"/>
    <col min="12036" max="12036" width="2.5703125" style="2" customWidth="1"/>
    <col min="12037" max="12037" width="26" style="2" customWidth="1"/>
    <col min="12038" max="12038" width="10.140625" style="2" customWidth="1"/>
    <col min="12039" max="12041" width="9.140625" style="2"/>
    <col min="12042" max="12042" width="14.28515625" style="2" bestFit="1" customWidth="1"/>
    <col min="12043" max="12043" width="15" style="2" bestFit="1" customWidth="1"/>
    <col min="12044" max="12044" width="13.7109375" style="2" bestFit="1" customWidth="1"/>
    <col min="12045" max="12288" width="9.140625" style="2"/>
    <col min="12289" max="12289" width="34.28515625" style="2" bestFit="1" customWidth="1"/>
    <col min="12290" max="12290" width="10.85546875" style="2" customWidth="1"/>
    <col min="12291" max="12291" width="7" style="2" customWidth="1"/>
    <col min="12292" max="12292" width="2.5703125" style="2" customWidth="1"/>
    <col min="12293" max="12293" width="26" style="2" customWidth="1"/>
    <col min="12294" max="12294" width="10.140625" style="2" customWidth="1"/>
    <col min="12295" max="12297" width="9.140625" style="2"/>
    <col min="12298" max="12298" width="14.28515625" style="2" bestFit="1" customWidth="1"/>
    <col min="12299" max="12299" width="15" style="2" bestFit="1" customWidth="1"/>
    <col min="12300" max="12300" width="13.7109375" style="2" bestFit="1" customWidth="1"/>
    <col min="12301" max="12544" width="9.140625" style="2"/>
    <col min="12545" max="12545" width="34.28515625" style="2" bestFit="1" customWidth="1"/>
    <col min="12546" max="12546" width="10.85546875" style="2" customWidth="1"/>
    <col min="12547" max="12547" width="7" style="2" customWidth="1"/>
    <col min="12548" max="12548" width="2.5703125" style="2" customWidth="1"/>
    <col min="12549" max="12549" width="26" style="2" customWidth="1"/>
    <col min="12550" max="12550" width="10.140625" style="2" customWidth="1"/>
    <col min="12551" max="12553" width="9.140625" style="2"/>
    <col min="12554" max="12554" width="14.28515625" style="2" bestFit="1" customWidth="1"/>
    <col min="12555" max="12555" width="15" style="2" bestFit="1" customWidth="1"/>
    <col min="12556" max="12556" width="13.7109375" style="2" bestFit="1" customWidth="1"/>
    <col min="12557" max="12800" width="9.140625" style="2"/>
    <col min="12801" max="12801" width="34.28515625" style="2" bestFit="1" customWidth="1"/>
    <col min="12802" max="12802" width="10.85546875" style="2" customWidth="1"/>
    <col min="12803" max="12803" width="7" style="2" customWidth="1"/>
    <col min="12804" max="12804" width="2.5703125" style="2" customWidth="1"/>
    <col min="12805" max="12805" width="26" style="2" customWidth="1"/>
    <col min="12806" max="12806" width="10.140625" style="2" customWidth="1"/>
    <col min="12807" max="12809" width="9.140625" style="2"/>
    <col min="12810" max="12810" width="14.28515625" style="2" bestFit="1" customWidth="1"/>
    <col min="12811" max="12811" width="15" style="2" bestFit="1" customWidth="1"/>
    <col min="12812" max="12812" width="13.7109375" style="2" bestFit="1" customWidth="1"/>
    <col min="12813" max="13056" width="9.140625" style="2"/>
    <col min="13057" max="13057" width="34.28515625" style="2" bestFit="1" customWidth="1"/>
    <col min="13058" max="13058" width="10.85546875" style="2" customWidth="1"/>
    <col min="13059" max="13059" width="7" style="2" customWidth="1"/>
    <col min="13060" max="13060" width="2.5703125" style="2" customWidth="1"/>
    <col min="13061" max="13061" width="26" style="2" customWidth="1"/>
    <col min="13062" max="13062" width="10.140625" style="2" customWidth="1"/>
    <col min="13063" max="13065" width="9.140625" style="2"/>
    <col min="13066" max="13066" width="14.28515625" style="2" bestFit="1" customWidth="1"/>
    <col min="13067" max="13067" width="15" style="2" bestFit="1" customWidth="1"/>
    <col min="13068" max="13068" width="13.7109375" style="2" bestFit="1" customWidth="1"/>
    <col min="13069" max="13312" width="9.140625" style="2"/>
    <col min="13313" max="13313" width="34.28515625" style="2" bestFit="1" customWidth="1"/>
    <col min="13314" max="13314" width="10.85546875" style="2" customWidth="1"/>
    <col min="13315" max="13315" width="7" style="2" customWidth="1"/>
    <col min="13316" max="13316" width="2.5703125" style="2" customWidth="1"/>
    <col min="13317" max="13317" width="26" style="2" customWidth="1"/>
    <col min="13318" max="13318" width="10.140625" style="2" customWidth="1"/>
    <col min="13319" max="13321" width="9.140625" style="2"/>
    <col min="13322" max="13322" width="14.28515625" style="2" bestFit="1" customWidth="1"/>
    <col min="13323" max="13323" width="15" style="2" bestFit="1" customWidth="1"/>
    <col min="13324" max="13324" width="13.7109375" style="2" bestFit="1" customWidth="1"/>
    <col min="13325" max="13568" width="9.140625" style="2"/>
    <col min="13569" max="13569" width="34.28515625" style="2" bestFit="1" customWidth="1"/>
    <col min="13570" max="13570" width="10.85546875" style="2" customWidth="1"/>
    <col min="13571" max="13571" width="7" style="2" customWidth="1"/>
    <col min="13572" max="13572" width="2.5703125" style="2" customWidth="1"/>
    <col min="13573" max="13573" width="26" style="2" customWidth="1"/>
    <col min="13574" max="13574" width="10.140625" style="2" customWidth="1"/>
    <col min="13575" max="13577" width="9.140625" style="2"/>
    <col min="13578" max="13578" width="14.28515625" style="2" bestFit="1" customWidth="1"/>
    <col min="13579" max="13579" width="15" style="2" bestFit="1" customWidth="1"/>
    <col min="13580" max="13580" width="13.7109375" style="2" bestFit="1" customWidth="1"/>
    <col min="13581" max="13824" width="9.140625" style="2"/>
    <col min="13825" max="13825" width="34.28515625" style="2" bestFit="1" customWidth="1"/>
    <col min="13826" max="13826" width="10.85546875" style="2" customWidth="1"/>
    <col min="13827" max="13827" width="7" style="2" customWidth="1"/>
    <col min="13828" max="13828" width="2.5703125" style="2" customWidth="1"/>
    <col min="13829" max="13829" width="26" style="2" customWidth="1"/>
    <col min="13830" max="13830" width="10.140625" style="2" customWidth="1"/>
    <col min="13831" max="13833" width="9.140625" style="2"/>
    <col min="13834" max="13834" width="14.28515625" style="2" bestFit="1" customWidth="1"/>
    <col min="13835" max="13835" width="15" style="2" bestFit="1" customWidth="1"/>
    <col min="13836" max="13836" width="13.7109375" style="2" bestFit="1" customWidth="1"/>
    <col min="13837" max="14080" width="9.140625" style="2"/>
    <col min="14081" max="14081" width="34.28515625" style="2" bestFit="1" customWidth="1"/>
    <col min="14082" max="14082" width="10.85546875" style="2" customWidth="1"/>
    <col min="14083" max="14083" width="7" style="2" customWidth="1"/>
    <col min="14084" max="14084" width="2.5703125" style="2" customWidth="1"/>
    <col min="14085" max="14085" width="26" style="2" customWidth="1"/>
    <col min="14086" max="14086" width="10.140625" style="2" customWidth="1"/>
    <col min="14087" max="14089" width="9.140625" style="2"/>
    <col min="14090" max="14090" width="14.28515625" style="2" bestFit="1" customWidth="1"/>
    <col min="14091" max="14091" width="15" style="2" bestFit="1" customWidth="1"/>
    <col min="14092" max="14092" width="13.7109375" style="2" bestFit="1" customWidth="1"/>
    <col min="14093" max="14336" width="9.140625" style="2"/>
    <col min="14337" max="14337" width="34.28515625" style="2" bestFit="1" customWidth="1"/>
    <col min="14338" max="14338" width="10.85546875" style="2" customWidth="1"/>
    <col min="14339" max="14339" width="7" style="2" customWidth="1"/>
    <col min="14340" max="14340" width="2.5703125" style="2" customWidth="1"/>
    <col min="14341" max="14341" width="26" style="2" customWidth="1"/>
    <col min="14342" max="14342" width="10.140625" style="2" customWidth="1"/>
    <col min="14343" max="14345" width="9.140625" style="2"/>
    <col min="14346" max="14346" width="14.28515625" style="2" bestFit="1" customWidth="1"/>
    <col min="14347" max="14347" width="15" style="2" bestFit="1" customWidth="1"/>
    <col min="14348" max="14348" width="13.7109375" style="2" bestFit="1" customWidth="1"/>
    <col min="14349" max="14592" width="9.140625" style="2"/>
    <col min="14593" max="14593" width="34.28515625" style="2" bestFit="1" customWidth="1"/>
    <col min="14594" max="14594" width="10.85546875" style="2" customWidth="1"/>
    <col min="14595" max="14595" width="7" style="2" customWidth="1"/>
    <col min="14596" max="14596" width="2.5703125" style="2" customWidth="1"/>
    <col min="14597" max="14597" width="26" style="2" customWidth="1"/>
    <col min="14598" max="14598" width="10.140625" style="2" customWidth="1"/>
    <col min="14599" max="14601" width="9.140625" style="2"/>
    <col min="14602" max="14602" width="14.28515625" style="2" bestFit="1" customWidth="1"/>
    <col min="14603" max="14603" width="15" style="2" bestFit="1" customWidth="1"/>
    <col min="14604" max="14604" width="13.7109375" style="2" bestFit="1" customWidth="1"/>
    <col min="14605" max="14848" width="9.140625" style="2"/>
    <col min="14849" max="14849" width="34.28515625" style="2" bestFit="1" customWidth="1"/>
    <col min="14850" max="14850" width="10.85546875" style="2" customWidth="1"/>
    <col min="14851" max="14851" width="7" style="2" customWidth="1"/>
    <col min="14852" max="14852" width="2.5703125" style="2" customWidth="1"/>
    <col min="14853" max="14853" width="26" style="2" customWidth="1"/>
    <col min="14854" max="14854" width="10.140625" style="2" customWidth="1"/>
    <col min="14855" max="14857" width="9.140625" style="2"/>
    <col min="14858" max="14858" width="14.28515625" style="2" bestFit="1" customWidth="1"/>
    <col min="14859" max="14859" width="15" style="2" bestFit="1" customWidth="1"/>
    <col min="14860" max="14860" width="13.7109375" style="2" bestFit="1" customWidth="1"/>
    <col min="14861" max="15104" width="9.140625" style="2"/>
    <col min="15105" max="15105" width="34.28515625" style="2" bestFit="1" customWidth="1"/>
    <col min="15106" max="15106" width="10.85546875" style="2" customWidth="1"/>
    <col min="15107" max="15107" width="7" style="2" customWidth="1"/>
    <col min="15108" max="15108" width="2.5703125" style="2" customWidth="1"/>
    <col min="15109" max="15109" width="26" style="2" customWidth="1"/>
    <col min="15110" max="15110" width="10.140625" style="2" customWidth="1"/>
    <col min="15111" max="15113" width="9.140625" style="2"/>
    <col min="15114" max="15114" width="14.28515625" style="2" bestFit="1" customWidth="1"/>
    <col min="15115" max="15115" width="15" style="2" bestFit="1" customWidth="1"/>
    <col min="15116" max="15116" width="13.7109375" style="2" bestFit="1" customWidth="1"/>
    <col min="15117" max="15360" width="9.140625" style="2"/>
    <col min="15361" max="15361" width="34.28515625" style="2" bestFit="1" customWidth="1"/>
    <col min="15362" max="15362" width="10.85546875" style="2" customWidth="1"/>
    <col min="15363" max="15363" width="7" style="2" customWidth="1"/>
    <col min="15364" max="15364" width="2.5703125" style="2" customWidth="1"/>
    <col min="15365" max="15365" width="26" style="2" customWidth="1"/>
    <col min="15366" max="15366" width="10.140625" style="2" customWidth="1"/>
    <col min="15367" max="15369" width="9.140625" style="2"/>
    <col min="15370" max="15370" width="14.28515625" style="2" bestFit="1" customWidth="1"/>
    <col min="15371" max="15371" width="15" style="2" bestFit="1" customWidth="1"/>
    <col min="15372" max="15372" width="13.7109375" style="2" bestFit="1" customWidth="1"/>
    <col min="15373" max="15616" width="9.140625" style="2"/>
    <col min="15617" max="15617" width="34.28515625" style="2" bestFit="1" customWidth="1"/>
    <col min="15618" max="15618" width="10.85546875" style="2" customWidth="1"/>
    <col min="15619" max="15619" width="7" style="2" customWidth="1"/>
    <col min="15620" max="15620" width="2.5703125" style="2" customWidth="1"/>
    <col min="15621" max="15621" width="26" style="2" customWidth="1"/>
    <col min="15622" max="15622" width="10.140625" style="2" customWidth="1"/>
    <col min="15623" max="15625" width="9.140625" style="2"/>
    <col min="15626" max="15626" width="14.28515625" style="2" bestFit="1" customWidth="1"/>
    <col min="15627" max="15627" width="15" style="2" bestFit="1" customWidth="1"/>
    <col min="15628" max="15628" width="13.7109375" style="2" bestFit="1" customWidth="1"/>
    <col min="15629" max="15872" width="9.140625" style="2"/>
    <col min="15873" max="15873" width="34.28515625" style="2" bestFit="1" customWidth="1"/>
    <col min="15874" max="15874" width="10.85546875" style="2" customWidth="1"/>
    <col min="15875" max="15875" width="7" style="2" customWidth="1"/>
    <col min="15876" max="15876" width="2.5703125" style="2" customWidth="1"/>
    <col min="15877" max="15877" width="26" style="2" customWidth="1"/>
    <col min="15878" max="15878" width="10.140625" style="2" customWidth="1"/>
    <col min="15879" max="15881" width="9.140625" style="2"/>
    <col min="15882" max="15882" width="14.28515625" style="2" bestFit="1" customWidth="1"/>
    <col min="15883" max="15883" width="15" style="2" bestFit="1" customWidth="1"/>
    <col min="15884" max="15884" width="13.7109375" style="2" bestFit="1" customWidth="1"/>
    <col min="15885" max="16128" width="9.140625" style="2"/>
    <col min="16129" max="16129" width="34.28515625" style="2" bestFit="1" customWidth="1"/>
    <col min="16130" max="16130" width="10.85546875" style="2" customWidth="1"/>
    <col min="16131" max="16131" width="7" style="2" customWidth="1"/>
    <col min="16132" max="16132" width="2.5703125" style="2" customWidth="1"/>
    <col min="16133" max="16133" width="26" style="2" customWidth="1"/>
    <col min="16134" max="16134" width="10.140625" style="2" customWidth="1"/>
    <col min="16135" max="16137" width="9.140625" style="2"/>
    <col min="16138" max="16138" width="14.28515625" style="2" bestFit="1" customWidth="1"/>
    <col min="16139" max="16139" width="15" style="2" bestFit="1" customWidth="1"/>
    <col min="16140" max="16140" width="13.7109375" style="2" bestFit="1" customWidth="1"/>
    <col min="16141" max="16384" width="9.140625" style="2"/>
  </cols>
  <sheetData>
    <row r="13" spans="1:20" ht="15.75" thickBot="1">
      <c r="A13" s="1"/>
      <c r="B13" s="1"/>
      <c r="C13" s="1"/>
      <c r="D13" s="1"/>
      <c r="E13" s="1"/>
      <c r="F13" s="1"/>
      <c r="G13" s="1"/>
      <c r="H13" s="1"/>
      <c r="S13" s="2" t="s">
        <v>194</v>
      </c>
      <c r="T13"/>
    </row>
    <row r="14" spans="1:20" ht="15">
      <c r="A14" s="2" t="s">
        <v>201</v>
      </c>
      <c r="S14"/>
      <c r="T14" s="2" t="s">
        <v>195</v>
      </c>
    </row>
    <row r="15" spans="1:20" ht="15">
      <c r="S15" s="68" t="s">
        <v>196</v>
      </c>
      <c r="T15" s="68"/>
    </row>
    <row r="16" spans="1:20" ht="18">
      <c r="A16" s="3" t="s">
        <v>0</v>
      </c>
      <c r="S16" s="68" t="s">
        <v>197</v>
      </c>
      <c r="T16" s="68"/>
    </row>
    <row r="17" spans="1:20" ht="12.95" customHeight="1">
      <c r="A17" s="2" t="s">
        <v>181</v>
      </c>
      <c r="B17" s="57" t="s">
        <v>190</v>
      </c>
      <c r="F17" s="4"/>
      <c r="S17" s="68" t="s">
        <v>198</v>
      </c>
      <c r="T17" s="68"/>
    </row>
    <row r="18" spans="1:20" ht="12.95" customHeight="1">
      <c r="A18" s="53" t="str">
        <f>IF(Fs=400,"Switching Frequency",IF(Fs=800,"Switching Frequency","Switching Frequency"))</f>
        <v>Switching Frequency</v>
      </c>
      <c r="B18" s="7">
        <f>IF(OR(B17="AP62200T",B17="AP62200",B17="AP62201",B17="AP62300T",B17="AP62300",B17="AP62301",B17="AP62400T",B17="AP62400",B17="AP62401"),750,1300)</f>
        <v>750</v>
      </c>
      <c r="C18" s="6" t="s">
        <v>1</v>
      </c>
      <c r="E18" s="56" t="s">
        <v>2</v>
      </c>
      <c r="F18" s="7">
        <f>D*1000000000/(Fs*1000)</f>
        <v>908.6280149367293</v>
      </c>
      <c r="G18" s="6" t="s">
        <v>3</v>
      </c>
      <c r="S18" s="68"/>
      <c r="T18" s="68"/>
    </row>
    <row r="19" spans="1:20" ht="12.95" customHeight="1">
      <c r="A19" s="70" t="str">
        <f>IF(OR(Vin&lt;4.2,Vin&gt;18), "Input Voltage out of Range", "Input Voltage (4.2V-18V)")</f>
        <v>Input Voltage (4.2V-18V)</v>
      </c>
      <c r="B19" s="67">
        <v>5</v>
      </c>
      <c r="C19" s="6" t="s">
        <v>4</v>
      </c>
      <c r="D19" s="49"/>
      <c r="E19" s="56" t="s">
        <v>5</v>
      </c>
      <c r="F19" s="9">
        <f>(Vout + (Iout*((DCR+Ron_l)/1000)))/(Vin+(Iout*((Ron_l-Ron_u)/1000)))</f>
        <v>0.68147101120254694</v>
      </c>
      <c r="G19" s="6"/>
      <c r="H19" s="10"/>
      <c r="S19" s="69"/>
      <c r="T19" s="69"/>
    </row>
    <row r="20" spans="1:20" ht="12.95" customHeight="1">
      <c r="A20" s="53" t="str">
        <f>IF(OR(Vout&lt;0.765,Vout&gt;7, 1/(Fs*1000)-F18*0.000000001&lt;0.000000255), "Output Voltage out of Range", "Output Voltage (0.765V-7V)")</f>
        <v>Output Voltage (0.765V-7V)</v>
      </c>
      <c r="B20" s="67">
        <v>3.3</v>
      </c>
      <c r="C20" s="6" t="s">
        <v>4</v>
      </c>
      <c r="E20" s="56" t="s">
        <v>6</v>
      </c>
      <c r="F20" s="11">
        <f>Vout/Iout</f>
        <v>3.3</v>
      </c>
      <c r="G20" s="6" t="s">
        <v>7</v>
      </c>
      <c r="S20" s="69"/>
      <c r="T20" s="69"/>
    </row>
    <row r="21" spans="1:20" ht="12.95" customHeight="1">
      <c r="A21" s="53" t="s">
        <v>8</v>
      </c>
      <c r="B21" s="8">
        <v>1</v>
      </c>
      <c r="C21" s="6" t="s">
        <v>9</v>
      </c>
      <c r="E21" s="56"/>
      <c r="S21" s="68" t="s">
        <v>199</v>
      </c>
      <c r="T21" s="69"/>
    </row>
    <row r="22" spans="1:20" ht="12.95" customHeight="1">
      <c r="B22" s="12"/>
      <c r="E22" s="56" t="s">
        <v>10</v>
      </c>
      <c r="F22" s="9">
        <f>Iout*SQRT(D)*SQRT(1+1/3*(Irip/2/Iout)^2)</f>
        <v>0.82628201222386533</v>
      </c>
      <c r="G22" s="6" t="s">
        <v>9</v>
      </c>
      <c r="S22" s="68" t="s">
        <v>200</v>
      </c>
      <c r="T22" s="68"/>
    </row>
    <row r="23" spans="1:20" ht="12.95" customHeight="1">
      <c r="A23" s="13" t="s">
        <v>11</v>
      </c>
      <c r="B23" s="12"/>
      <c r="E23" s="56" t="s">
        <v>12</v>
      </c>
      <c r="F23" s="9">
        <f>Iout*SQRT(1-D)*SQRT(1+1/3*(Irip/2/Iout)^2)</f>
        <v>0.56490977121006991</v>
      </c>
      <c r="G23" s="6" t="s">
        <v>9</v>
      </c>
      <c r="L23"/>
    </row>
    <row r="24" spans="1:20" ht="12.95" customHeight="1">
      <c r="A24" s="14" t="s">
        <v>13</v>
      </c>
      <c r="B24" s="15">
        <v>45</v>
      </c>
      <c r="C24" s="16" t="s">
        <v>14</v>
      </c>
      <c r="E24" s="56"/>
      <c r="F24" s="12"/>
    </row>
    <row r="25" spans="1:20" ht="12.95" customHeight="1">
      <c r="A25" s="14"/>
      <c r="B25" s="14"/>
      <c r="C25" s="14"/>
      <c r="E25" s="56"/>
      <c r="F25" s="12"/>
    </row>
    <row r="26" spans="1:20" ht="12.95" customHeight="1">
      <c r="A26" s="14" t="s">
        <v>15</v>
      </c>
      <c r="B26" s="17">
        <f>IF(OR(B17="AP62200",B17="AP62201",B17="AP62150",B17="AP62200T"),(((Vin-Vout)*D)/((Fs*10^3)*2*(LIR/100)))*10^6,IF(OR(B17="AP62300",B17="AP62301",B17="AP62250,B17=""AP62300T"),(((Vin-Vout)*D)/((Fs*10^3)*3*(LIR/100)))*10^6,(((Vin-Vout)*D)/((Fs*10^3)*4*(LIR/100)))*10^6))</f>
        <v>1.7162973615471553</v>
      </c>
      <c r="C26" s="16" t="s">
        <v>16</v>
      </c>
      <c r="E26" s="56" t="s">
        <v>17</v>
      </c>
      <c r="F26" s="9">
        <f>(Vin-Vout)*((Vout)/(Vin*Lout*10^(-6)*Fs*10^3))</f>
        <v>0.14960000000000001</v>
      </c>
      <c r="G26" s="6" t="s">
        <v>18</v>
      </c>
      <c r="H26" s="10"/>
      <c r="J26" s="4"/>
      <c r="K26" s="4"/>
      <c r="L26" s="4"/>
      <c r="M26" s="4"/>
    </row>
    <row r="27" spans="1:20" ht="12.95" customHeight="1">
      <c r="A27" s="2" t="str">
        <f>IF(OR(B17="AP62200",B17="AP62201",B17="AP62150",B17="AP62200T"),"Output Inductor (Isat &gt; 3A)","Output Inductor (Isat &gt; 5A)")</f>
        <v>Output Inductor (Isat &gt; 3A)</v>
      </c>
      <c r="B27" s="8">
        <v>10</v>
      </c>
      <c r="C27" s="6" t="s">
        <v>16</v>
      </c>
      <c r="E27" s="56" t="s">
        <v>168</v>
      </c>
      <c r="F27" s="7">
        <f>Irip*ESR/ncap+Irip*1000/(8*Fs*1000*Cap*0.000001*ncap)</f>
        <v>0.94066666666666676</v>
      </c>
      <c r="G27" s="6" t="s">
        <v>169</v>
      </c>
      <c r="J27" s="18"/>
      <c r="K27" s="18" t="s">
        <v>31</v>
      </c>
      <c r="L27" s="18" t="s">
        <v>20</v>
      </c>
      <c r="M27" s="4"/>
    </row>
    <row r="28" spans="1:20" ht="12.95" customHeight="1">
      <c r="A28" s="20" t="s">
        <v>21</v>
      </c>
      <c r="B28" s="21">
        <v>20</v>
      </c>
      <c r="C28" s="6" t="s">
        <v>22</v>
      </c>
      <c r="E28" s="50"/>
      <c r="G28" s="14"/>
      <c r="J28" s="18" t="s">
        <v>23</v>
      </c>
      <c r="K28" s="22">
        <f>B55</f>
        <v>6.9851330308676102E-2</v>
      </c>
      <c r="L28" s="22">
        <f>B56+B57+B58+B59</f>
        <v>1.604033085719871E-2</v>
      </c>
      <c r="M28" s="4"/>
    </row>
    <row r="29" spans="1:20" ht="12.95" customHeight="1">
      <c r="A29" s="20"/>
      <c r="B29" s="12"/>
      <c r="E29" s="50"/>
      <c r="G29" s="14"/>
      <c r="J29" s="18" t="s">
        <v>24</v>
      </c>
      <c r="K29" s="22">
        <f>B72</f>
        <v>1.7666644048256602E-2</v>
      </c>
      <c r="L29" s="22">
        <f>B73+B74+B75</f>
        <v>2.5336346989634658E-2</v>
      </c>
      <c r="M29" s="4"/>
    </row>
    <row r="30" spans="1:20" ht="12.95" customHeight="1">
      <c r="A30" s="13" t="s">
        <v>25</v>
      </c>
      <c r="B30" s="12"/>
      <c r="D30" s="14"/>
      <c r="E30" s="51"/>
      <c r="F30" s="14"/>
      <c r="G30" s="14"/>
      <c r="J30" s="18" t="s">
        <v>26</v>
      </c>
      <c r="K30" s="18"/>
      <c r="L30" s="22">
        <f>B82+B83</f>
        <v>1.5E-3</v>
      </c>
      <c r="M30" s="4"/>
    </row>
    <row r="31" spans="1:20" ht="12.95" customHeight="1">
      <c r="A31" s="2" t="s">
        <v>27</v>
      </c>
      <c r="B31" s="21">
        <v>2</v>
      </c>
      <c r="D31" s="14"/>
      <c r="E31" s="60" t="s">
        <v>172</v>
      </c>
      <c r="F31" s="62">
        <v>1</v>
      </c>
      <c r="G31" s="46" t="s">
        <v>173</v>
      </c>
      <c r="J31" s="18" t="s">
        <v>19</v>
      </c>
      <c r="K31" s="22">
        <f>B89</f>
        <v>2.0149201066666667E-2</v>
      </c>
      <c r="L31" s="22">
        <f>B88</f>
        <v>1.463230549808459E-4</v>
      </c>
      <c r="M31" s="4"/>
    </row>
    <row r="32" spans="1:20" ht="12.95" customHeight="1">
      <c r="A32" s="2" t="s">
        <v>28</v>
      </c>
      <c r="B32" s="21">
        <v>22</v>
      </c>
      <c r="C32" s="6" t="s">
        <v>29</v>
      </c>
      <c r="E32" s="58" t="s">
        <v>174</v>
      </c>
      <c r="F32" s="59" t="str">
        <f>IF(OR(B17="AP62200",B17="AP62200T",B17="AP62300",B17="AP62150",B17="AP62250",B17="AP62300T",B17="AP62400",B17="AP62400T"),"GND (PFM)","VCC (PWM)")</f>
        <v>GND (PFM)</v>
      </c>
      <c r="J32" s="18" t="s">
        <v>30</v>
      </c>
      <c r="K32" s="54">
        <f>B93</f>
        <v>4.6625333333333349E-6</v>
      </c>
      <c r="L32" s="18"/>
      <c r="M32" s="4"/>
    </row>
    <row r="33" spans="1:13" ht="12.95" customHeight="1">
      <c r="A33" s="2" t="s">
        <v>32</v>
      </c>
      <c r="B33" s="21">
        <v>5</v>
      </c>
      <c r="C33" s="6" t="s">
        <v>22</v>
      </c>
      <c r="E33" s="50"/>
      <c r="J33" s="4"/>
      <c r="K33" s="4"/>
      <c r="L33" s="4"/>
      <c r="M33" s="4"/>
    </row>
    <row r="34" spans="1:13" ht="12.95" customHeight="1">
      <c r="B34" s="23"/>
      <c r="E34" s="60" t="s">
        <v>175</v>
      </c>
      <c r="F34" s="61" t="str">
        <f>IF(F31&lt;1.01, "Css=VCC", 8.33*F31)</f>
        <v>Css=VCC</v>
      </c>
      <c r="G34" s="46" t="s">
        <v>49</v>
      </c>
      <c r="J34" s="4"/>
      <c r="K34" s="4"/>
      <c r="L34" s="4"/>
      <c r="M34" s="4"/>
    </row>
    <row r="35" spans="1:13" ht="12.95" customHeight="1">
      <c r="A35" s="13" t="s">
        <v>33</v>
      </c>
      <c r="E35" s="50" t="s">
        <v>176</v>
      </c>
      <c r="F35" s="7">
        <f>IF(OR(B17="AP62200T",B17="AP62300T"),F36*(Vout/0.763-1),F36*(Vout/0.8-1))</f>
        <v>66.500655307994748</v>
      </c>
      <c r="G35" s="48" t="s">
        <v>188</v>
      </c>
      <c r="J35" s="4"/>
      <c r="K35" s="4"/>
      <c r="L35" s="4"/>
      <c r="M35" s="4"/>
    </row>
    <row r="36" spans="1:13" ht="12.95" customHeight="1">
      <c r="A36" s="2" t="s">
        <v>34</v>
      </c>
      <c r="B36" s="7">
        <f>IF(OR(B17="AP62200",B17="AP62201",B17="AP62150",B17="AP62200T"),100*(1+0.005*(F40+100*0.001*Iout^2*Vout/Vin*F39-25)),IF(OR(B17="AP62300",B17="AP62301",B17="AP62250",B17="AP62300T"),63*(1+0.005*(F40+63*0.001*Iout^2*Vout/Vin*F39-25)),50*(1+0.005*(F40+50*0.001*Iout^2*Vout/Vin*F39-25))))</f>
        <v>102.30999999999999</v>
      </c>
      <c r="C36" s="6" t="s">
        <v>22</v>
      </c>
      <c r="E36" s="50" t="s">
        <v>177</v>
      </c>
      <c r="F36" s="21">
        <v>20</v>
      </c>
      <c r="G36" s="48" t="s">
        <v>188</v>
      </c>
      <c r="J36" s="4"/>
      <c r="K36" s="4"/>
      <c r="L36" s="4"/>
      <c r="M36" s="4"/>
    </row>
    <row r="37" spans="1:13" ht="12.95" customHeight="1">
      <c r="E37" s="52"/>
    </row>
    <row r="38" spans="1:13" ht="12.95" customHeight="1">
      <c r="A38" s="13" t="s">
        <v>35</v>
      </c>
      <c r="B38" s="23"/>
      <c r="E38" s="52"/>
    </row>
    <row r="39" spans="1:13" ht="12.95" customHeight="1">
      <c r="A39" s="2" t="s">
        <v>34</v>
      </c>
      <c r="B39" s="7">
        <f>IF(OR(B17="AP62200",B17="AP62201",B17="AP62150",B17="AP62200T"),55*(1+0.005*(F40+55*0.001*Iout^2*(1-Vout/Vin)*F39-25)),IF(OR(B17="AP62300",B17="AP62301",B17="AP62250",B17="AP62300T"),36*(1+0.005*(F40+36*0.001*Iout^2*(1-Vout/Vin)*F39-25)),22*(1+0.005*(F40+22*0.001*Iout^2*(1-Vout/Vin)*F39-25))))</f>
        <v>55.359974999999999</v>
      </c>
      <c r="C39" s="6" t="s">
        <v>22</v>
      </c>
      <c r="E39" s="55" t="s">
        <v>178</v>
      </c>
      <c r="F39" s="40">
        <v>70</v>
      </c>
      <c r="G39" s="25" t="s">
        <v>36</v>
      </c>
    </row>
    <row r="40" spans="1:13" ht="12.95" customHeight="1">
      <c r="B40" s="23"/>
      <c r="E40" s="24" t="s">
        <v>179</v>
      </c>
      <c r="F40" s="40">
        <v>25</v>
      </c>
      <c r="G40" s="25" t="s">
        <v>37</v>
      </c>
    </row>
    <row r="41" spans="1:13" ht="12.95" customHeight="1">
      <c r="A41" s="26" t="s">
        <v>38</v>
      </c>
      <c r="B41" s="27">
        <f>Tloss</f>
        <v>0.17569017632541359</v>
      </c>
      <c r="C41" s="28" t="s">
        <v>39</v>
      </c>
      <c r="E41" s="24" t="s">
        <v>180</v>
      </c>
      <c r="F41" s="29">
        <f>+F40+F39*F42</f>
        <v>34.127625654263625</v>
      </c>
      <c r="G41" s="25" t="s">
        <v>37</v>
      </c>
    </row>
    <row r="42" spans="1:13" ht="12.95" customHeight="1">
      <c r="A42" s="26" t="s">
        <v>40</v>
      </c>
      <c r="B42" s="27">
        <f>Efficiency</f>
        <v>94.945171536803727</v>
      </c>
      <c r="C42" s="28" t="s">
        <v>14</v>
      </c>
      <c r="E42" s="56" t="s">
        <v>41</v>
      </c>
      <c r="F42" s="30">
        <f>+K28+L28+K29+L29+L30</f>
        <v>0.13039465220376606</v>
      </c>
      <c r="G42" s="31" t="s">
        <v>42</v>
      </c>
    </row>
    <row r="43" spans="1:13" ht="12.95" customHeight="1" thickBot="1">
      <c r="A43" s="1"/>
      <c r="B43" s="32"/>
      <c r="C43" s="1"/>
      <c r="D43" s="1"/>
      <c r="E43" s="1"/>
      <c r="F43" s="1"/>
      <c r="G43" s="1"/>
      <c r="H43" s="1"/>
    </row>
    <row r="44" spans="1:13" s="33" customFormat="1" ht="12.95" customHeight="1">
      <c r="A44" s="19"/>
      <c r="B44" s="63"/>
      <c r="C44" s="19"/>
      <c r="D44" s="19"/>
      <c r="E44" s="19"/>
      <c r="F44" s="19"/>
      <c r="G44" s="19"/>
      <c r="H44" s="19"/>
      <c r="I44" s="19"/>
      <c r="J44" s="46" t="s">
        <v>189</v>
      </c>
    </row>
    <row r="45" spans="1:13" s="34" customFormat="1" ht="12.95" customHeight="1">
      <c r="A45" s="72" t="s">
        <v>33</v>
      </c>
      <c r="B45" s="71"/>
      <c r="C45" s="71"/>
      <c r="D45" s="71"/>
      <c r="E45" s="71"/>
      <c r="F45" s="18"/>
      <c r="G45" s="18"/>
      <c r="H45" s="18"/>
      <c r="I45" s="18"/>
      <c r="J45" s="71" t="s">
        <v>182</v>
      </c>
    </row>
    <row r="46" spans="1:13" s="34" customFormat="1" ht="12.95" customHeight="1">
      <c r="A46" s="71" t="s">
        <v>43</v>
      </c>
      <c r="B46" s="73">
        <f>B36</f>
        <v>102.30999999999999</v>
      </c>
      <c r="C46" s="71" t="s">
        <v>22</v>
      </c>
      <c r="D46" s="71"/>
      <c r="E46" s="71"/>
      <c r="F46" s="18"/>
      <c r="G46" s="18"/>
      <c r="H46" s="18"/>
      <c r="I46" s="18"/>
      <c r="J46" s="71" t="s">
        <v>183</v>
      </c>
      <c r="K46" s="38"/>
    </row>
    <row r="47" spans="1:13" s="34" customFormat="1" ht="12.95" customHeight="1">
      <c r="A47" s="71" t="s">
        <v>44</v>
      </c>
      <c r="B47" s="71">
        <v>1.2</v>
      </c>
      <c r="C47" s="71" t="s">
        <v>4</v>
      </c>
      <c r="D47" s="71"/>
      <c r="E47" s="71"/>
      <c r="F47" s="18"/>
      <c r="G47" s="18"/>
      <c r="H47" s="18"/>
      <c r="I47" s="18"/>
      <c r="J47" s="71" t="s">
        <v>190</v>
      </c>
    </row>
    <row r="48" spans="1:13" s="34" customFormat="1" ht="12.95" customHeight="1">
      <c r="A48" s="71" t="s">
        <v>45</v>
      </c>
      <c r="B48" s="71">
        <v>0.3</v>
      </c>
      <c r="C48" s="71" t="s">
        <v>46</v>
      </c>
      <c r="D48" s="71"/>
      <c r="E48" s="71"/>
      <c r="F48" s="18"/>
      <c r="G48" s="18"/>
      <c r="H48" s="18"/>
      <c r="I48" s="18"/>
      <c r="J48" s="46" t="s">
        <v>191</v>
      </c>
    </row>
    <row r="49" spans="1:10" s="34" customFormat="1" ht="12.95" customHeight="1">
      <c r="A49" s="71" t="s">
        <v>47</v>
      </c>
      <c r="B49" s="71">
        <v>0.2</v>
      </c>
      <c r="C49" s="71" t="s">
        <v>46</v>
      </c>
      <c r="D49" s="71"/>
      <c r="E49" s="71"/>
      <c r="F49" s="18"/>
      <c r="G49" s="18"/>
      <c r="H49" s="18"/>
      <c r="I49" s="18"/>
      <c r="J49" s="71" t="s">
        <v>184</v>
      </c>
    </row>
    <row r="50" spans="1:10" s="34" customFormat="1" ht="12.95" customHeight="1">
      <c r="A50" s="71" t="s">
        <v>48</v>
      </c>
      <c r="B50" s="74">
        <f>+E50/Ron_u</f>
        <v>0.48871078095982801</v>
      </c>
      <c r="C50" s="71" t="s">
        <v>49</v>
      </c>
      <c r="D50" s="71" t="s">
        <v>50</v>
      </c>
      <c r="E50" s="75">
        <f>IF(OR(B17="AP62150",B17="AP62250"),90,50)</f>
        <v>50</v>
      </c>
      <c r="F50" s="18" t="s">
        <v>51</v>
      </c>
      <c r="G50" s="18"/>
      <c r="H50" s="18"/>
      <c r="I50" s="18"/>
      <c r="J50" s="71" t="s">
        <v>185</v>
      </c>
    </row>
    <row r="51" spans="1:10" s="34" customFormat="1" ht="12.95" customHeight="1">
      <c r="A51" s="71" t="s">
        <v>52</v>
      </c>
      <c r="B51" s="76">
        <f>+E51/Ron_u</f>
        <v>0.39096862476786243</v>
      </c>
      <c r="C51" s="71" t="s">
        <v>49</v>
      </c>
      <c r="D51" s="71" t="s">
        <v>53</v>
      </c>
      <c r="E51" s="75">
        <f>IF(OR(B17="AP62150",B17="AP62250"),90,40)</f>
        <v>40</v>
      </c>
      <c r="F51" s="18" t="s">
        <v>51</v>
      </c>
      <c r="G51" s="18"/>
      <c r="H51" s="18"/>
      <c r="I51" s="18"/>
      <c r="J51" s="71" t="s">
        <v>192</v>
      </c>
    </row>
    <row r="52" spans="1:10" s="34" customFormat="1" ht="12.95" customHeight="1">
      <c r="A52" s="71" t="s">
        <v>54</v>
      </c>
      <c r="B52" s="71">
        <v>3</v>
      </c>
      <c r="C52" s="71" t="s">
        <v>3</v>
      </c>
      <c r="D52" s="71" t="s">
        <v>55</v>
      </c>
      <c r="E52" s="71"/>
      <c r="F52" s="18"/>
      <c r="G52" s="18"/>
      <c r="H52" s="18"/>
      <c r="I52" s="18"/>
      <c r="J52" s="46" t="s">
        <v>186</v>
      </c>
    </row>
    <row r="53" spans="1:10" s="34" customFormat="1" ht="12.95" customHeight="1">
      <c r="A53" s="71" t="s">
        <v>56</v>
      </c>
      <c r="B53" s="71">
        <v>3</v>
      </c>
      <c r="C53" s="71" t="s">
        <v>3</v>
      </c>
      <c r="D53" s="71" t="s">
        <v>57</v>
      </c>
      <c r="E53" s="71"/>
      <c r="F53" s="18"/>
      <c r="G53" s="18"/>
      <c r="H53" s="18"/>
      <c r="I53" s="18"/>
      <c r="J53" s="71" t="s">
        <v>187</v>
      </c>
    </row>
    <row r="54" spans="1:10" s="34" customFormat="1" ht="12.95" customHeight="1">
      <c r="A54" s="71" t="s">
        <v>58</v>
      </c>
      <c r="B54" s="73">
        <v>1</v>
      </c>
      <c r="C54" s="71"/>
      <c r="D54" s="71" t="s">
        <v>59</v>
      </c>
      <c r="E54" s="71"/>
      <c r="F54" s="18"/>
      <c r="G54" s="18"/>
      <c r="H54" s="18"/>
      <c r="I54" s="18"/>
      <c r="J54" s="46" t="s">
        <v>193</v>
      </c>
    </row>
    <row r="55" spans="1:10" s="34" customFormat="1" ht="12.95" customHeight="1">
      <c r="A55" s="71" t="s">
        <v>60</v>
      </c>
      <c r="B55" s="77">
        <f>Iu_rms^2*B46/B54/1000</f>
        <v>6.9851330308676102E-2</v>
      </c>
      <c r="C55" s="71" t="s">
        <v>42</v>
      </c>
      <c r="D55" s="71" t="s">
        <v>61</v>
      </c>
      <c r="E55" s="71"/>
      <c r="F55" s="18"/>
      <c r="G55" s="18"/>
      <c r="H55" s="18"/>
      <c r="I55" s="18"/>
      <c r="J55" s="18"/>
    </row>
    <row r="56" spans="1:10" s="34" customFormat="1" ht="12.95" customHeight="1">
      <c r="A56" s="71" t="s">
        <v>62</v>
      </c>
      <c r="B56" s="77">
        <f>Vin*(Iout-0.5*Irip)*B52*10^(-9)*Fs*10^(3)/2</f>
        <v>5.2042500000000005E-3</v>
      </c>
      <c r="C56" s="71" t="s">
        <v>42</v>
      </c>
      <c r="D56" s="71" t="s">
        <v>63</v>
      </c>
      <c r="E56" s="71"/>
      <c r="F56" s="18"/>
      <c r="G56" s="18"/>
      <c r="H56" s="18"/>
      <c r="I56" s="18"/>
      <c r="J56" s="18"/>
    </row>
    <row r="57" spans="1:10" s="34" customFormat="1" ht="12.95" customHeight="1">
      <c r="A57" s="71" t="s">
        <v>64</v>
      </c>
      <c r="B57" s="77">
        <f>Vin*(Iout+0.5*Irip)*B53*10^(-9)*Fs*10^(3)/2</f>
        <v>6.0457500000000008E-3</v>
      </c>
      <c r="C57" s="71" t="s">
        <v>42</v>
      </c>
      <c r="D57" s="71" t="s">
        <v>65</v>
      </c>
      <c r="E57" s="71"/>
      <c r="F57" s="18"/>
      <c r="G57" s="18"/>
      <c r="H57" s="18"/>
      <c r="I57" s="18"/>
      <c r="J57" s="18"/>
    </row>
    <row r="58" spans="1:10" s="34" customFormat="1" ht="12.95" customHeight="1">
      <c r="A58" s="71" t="s">
        <v>66</v>
      </c>
      <c r="B58" s="77">
        <f>Vin*Fs*10^3*B48*10^(-9)*B54</f>
        <v>1.1250000000000001E-3</v>
      </c>
      <c r="C58" s="71" t="s">
        <v>42</v>
      </c>
      <c r="D58" s="71" t="s">
        <v>67</v>
      </c>
      <c r="E58" s="71"/>
      <c r="F58" s="18"/>
      <c r="G58" s="18"/>
      <c r="H58" s="18"/>
      <c r="I58" s="18"/>
      <c r="J58" s="18"/>
    </row>
    <row r="59" spans="1:10" s="34" customFormat="1" ht="12.95" customHeight="1">
      <c r="A59" s="71" t="s">
        <v>68</v>
      </c>
      <c r="B59" s="77">
        <f>0.5*B51*10^(-9)*Vin^2*Fs*10^3*B54</f>
        <v>3.6653308571987101E-3</v>
      </c>
      <c r="C59" s="71" t="s">
        <v>42</v>
      </c>
      <c r="D59" s="71" t="s">
        <v>69</v>
      </c>
      <c r="E59" s="71"/>
      <c r="F59" s="18"/>
      <c r="G59" s="18"/>
      <c r="H59" s="18"/>
      <c r="I59" s="18"/>
      <c r="J59" s="18"/>
    </row>
    <row r="60" spans="1:10" s="34" customFormat="1" ht="12.95" customHeight="1">
      <c r="A60" s="71" t="s">
        <v>70</v>
      </c>
      <c r="B60" s="77">
        <f>SUM(B55:B59)</f>
        <v>8.5891661165874808E-2</v>
      </c>
      <c r="C60" s="71" t="s">
        <v>42</v>
      </c>
      <c r="D60" s="71" t="s">
        <v>71</v>
      </c>
      <c r="E60" s="71"/>
      <c r="F60" s="18"/>
      <c r="G60" s="18"/>
      <c r="H60" s="18"/>
      <c r="I60" s="18"/>
      <c r="J60" s="22"/>
    </row>
    <row r="61" spans="1:10" s="34" customFormat="1" ht="12.95" customHeight="1">
      <c r="A61" s="71"/>
      <c r="B61" s="71"/>
      <c r="C61" s="71"/>
      <c r="D61" s="71"/>
      <c r="E61" s="71"/>
      <c r="F61" s="18"/>
      <c r="G61" s="18"/>
      <c r="H61" s="18"/>
      <c r="I61" s="18"/>
      <c r="J61" s="18"/>
    </row>
    <row r="62" spans="1:10" s="34" customFormat="1" ht="12.95" customHeight="1">
      <c r="A62" s="72" t="s">
        <v>35</v>
      </c>
      <c r="B62" s="71"/>
      <c r="C62" s="71"/>
      <c r="D62" s="71"/>
      <c r="E62" s="71"/>
      <c r="F62" s="18"/>
      <c r="G62" s="18"/>
      <c r="H62" s="18"/>
      <c r="I62" s="18"/>
      <c r="J62" s="18"/>
    </row>
    <row r="63" spans="1:10" s="34" customFormat="1" ht="12.95" customHeight="1">
      <c r="A63" s="71" t="s">
        <v>43</v>
      </c>
      <c r="B63" s="73">
        <f>B39</f>
        <v>55.359974999999999</v>
      </c>
      <c r="C63" s="71" t="s">
        <v>22</v>
      </c>
      <c r="D63" s="71"/>
      <c r="E63" s="71"/>
      <c r="F63" s="18"/>
      <c r="G63" s="18"/>
      <c r="H63" s="18"/>
      <c r="I63" s="18"/>
      <c r="J63" s="18"/>
    </row>
    <row r="64" spans="1:10" s="34" customFormat="1" ht="12.95" customHeight="1">
      <c r="A64" s="71" t="s">
        <v>44</v>
      </c>
      <c r="B64" s="71">
        <v>1.2</v>
      </c>
      <c r="C64" s="71" t="s">
        <v>4</v>
      </c>
      <c r="D64" s="71"/>
      <c r="E64" s="71"/>
      <c r="F64" s="18"/>
      <c r="G64" s="18"/>
      <c r="H64" s="18"/>
      <c r="I64" s="18"/>
      <c r="J64" s="18"/>
    </row>
    <row r="65" spans="1:10" s="34" customFormat="1" ht="12.95" customHeight="1">
      <c r="A65" s="71" t="s">
        <v>45</v>
      </c>
      <c r="B65" s="71">
        <v>0.3</v>
      </c>
      <c r="C65" s="71" t="s">
        <v>46</v>
      </c>
      <c r="D65" s="71"/>
      <c r="E65" s="71"/>
      <c r="F65" s="18"/>
      <c r="G65" s="18"/>
      <c r="H65" s="18"/>
      <c r="I65" s="18"/>
      <c r="J65" s="18"/>
    </row>
    <row r="66" spans="1:10" s="34" customFormat="1" ht="12.95" customHeight="1">
      <c r="A66" s="71" t="s">
        <v>47</v>
      </c>
      <c r="B66" s="71">
        <v>0.2</v>
      </c>
      <c r="C66" s="71" t="s">
        <v>46</v>
      </c>
      <c r="D66" s="71"/>
      <c r="E66" s="71"/>
      <c r="F66" s="18"/>
      <c r="G66" s="18"/>
      <c r="H66" s="18"/>
      <c r="I66" s="18"/>
      <c r="J66" s="18"/>
    </row>
    <row r="67" spans="1:10" s="34" customFormat="1" ht="12.95" customHeight="1">
      <c r="A67" s="71" t="s">
        <v>48</v>
      </c>
      <c r="B67" s="78">
        <f>+E67/Ron_l</f>
        <v>0.9031795986179546</v>
      </c>
      <c r="C67" s="71" t="s">
        <v>49</v>
      </c>
      <c r="D67" s="71" t="s">
        <v>50</v>
      </c>
      <c r="E67" s="75">
        <f>IF(OR(B17="AP62150",B17="AP62250"),90,50)</f>
        <v>50</v>
      </c>
      <c r="F67" s="18" t="s">
        <v>51</v>
      </c>
      <c r="G67" s="18"/>
      <c r="H67" s="18"/>
      <c r="I67" s="18"/>
      <c r="J67" s="18"/>
    </row>
    <row r="68" spans="1:10" s="34" customFormat="1" ht="12.95" customHeight="1">
      <c r="A68" s="71" t="s">
        <v>52</v>
      </c>
      <c r="B68" s="76">
        <f>+E68/Ron_l</f>
        <v>0.72254367889436366</v>
      </c>
      <c r="C68" s="71" t="s">
        <v>49</v>
      </c>
      <c r="D68" s="71" t="s">
        <v>53</v>
      </c>
      <c r="E68" s="75">
        <f>IF(OR(B17="AP62150",B17="AP62250"),90,40)</f>
        <v>40</v>
      </c>
      <c r="F68" s="18" t="s">
        <v>51</v>
      </c>
      <c r="G68" s="18"/>
      <c r="H68" s="18"/>
      <c r="I68" s="18"/>
      <c r="J68" s="18"/>
    </row>
    <row r="69" spans="1:10" s="34" customFormat="1" ht="12.95" customHeight="1">
      <c r="A69" s="71" t="s">
        <v>72</v>
      </c>
      <c r="B69" s="71">
        <v>10</v>
      </c>
      <c r="C69" s="71" t="s">
        <v>3</v>
      </c>
      <c r="D69" s="71" t="s">
        <v>73</v>
      </c>
      <c r="E69" s="71"/>
      <c r="F69" s="18"/>
      <c r="G69" s="18"/>
      <c r="H69" s="18"/>
      <c r="I69" s="18"/>
      <c r="J69" s="18"/>
    </row>
    <row r="70" spans="1:10" s="34" customFormat="1" ht="12.95" customHeight="1">
      <c r="A70" s="71" t="s">
        <v>74</v>
      </c>
      <c r="B70" s="71">
        <v>10</v>
      </c>
      <c r="C70" s="71" t="s">
        <v>3</v>
      </c>
      <c r="D70" s="71" t="s">
        <v>75</v>
      </c>
      <c r="E70" s="71"/>
      <c r="F70" s="18"/>
      <c r="G70" s="18"/>
      <c r="H70" s="18"/>
      <c r="I70" s="18"/>
      <c r="J70" s="18"/>
    </row>
    <row r="71" spans="1:10" s="34" customFormat="1" ht="12.95" customHeight="1">
      <c r="A71" s="71" t="s">
        <v>58</v>
      </c>
      <c r="B71" s="73">
        <v>1</v>
      </c>
      <c r="C71" s="71"/>
      <c r="D71" s="71" t="s">
        <v>76</v>
      </c>
      <c r="E71" s="71"/>
      <c r="F71" s="18"/>
      <c r="G71" s="18"/>
      <c r="H71" s="18"/>
      <c r="I71" s="18"/>
      <c r="J71" s="18"/>
    </row>
    <row r="72" spans="1:10" s="34" customFormat="1" ht="12.95" customHeight="1">
      <c r="A72" s="71" t="s">
        <v>60</v>
      </c>
      <c r="B72" s="77">
        <f>Il_rms^2*B63/1000/B71</f>
        <v>1.7666644048256602E-2</v>
      </c>
      <c r="C72" s="71" t="s">
        <v>42</v>
      </c>
      <c r="D72" s="71" t="s">
        <v>77</v>
      </c>
      <c r="E72" s="71"/>
      <c r="F72" s="18"/>
      <c r="G72" s="18"/>
      <c r="H72" s="18"/>
      <c r="I72" s="18"/>
      <c r="J72" s="18"/>
    </row>
    <row r="73" spans="1:10" s="34" customFormat="1" ht="12.75" customHeight="1">
      <c r="A73" s="71" t="s">
        <v>66</v>
      </c>
      <c r="B73" s="77">
        <f>B64*Fs*10^(-6)*((Iout+0.5*Irip)*B69+(Iout-0.5*Irip)*B70)</f>
        <v>1.7999999999999999E-2</v>
      </c>
      <c r="C73" s="71" t="s">
        <v>42</v>
      </c>
      <c r="D73" s="71" t="s">
        <v>170</v>
      </c>
      <c r="E73" s="71"/>
      <c r="F73" s="18"/>
      <c r="G73" s="18"/>
      <c r="H73" s="18"/>
      <c r="I73" s="18"/>
      <c r="J73" s="18"/>
    </row>
    <row r="74" spans="1:10" s="34" customFormat="1" ht="12.95" customHeight="1">
      <c r="A74" s="71" t="s">
        <v>78</v>
      </c>
      <c r="B74" s="77">
        <f>0.5*B65*Vin* Fs*10^(-6)*B71</f>
        <v>5.6249999999999996E-4</v>
      </c>
      <c r="C74" s="71" t="s">
        <v>42</v>
      </c>
      <c r="D74" s="71" t="s">
        <v>159</v>
      </c>
      <c r="E74" s="71"/>
      <c r="F74" s="18"/>
      <c r="G74" s="18"/>
      <c r="H74" s="18"/>
      <c r="I74" s="18"/>
      <c r="J74" s="18"/>
    </row>
    <row r="75" spans="1:10" s="34" customFormat="1" ht="12.95" customHeight="1">
      <c r="A75" s="71" t="s">
        <v>68</v>
      </c>
      <c r="B75" s="77">
        <f>B68*10^(-9)*B71*Vin^2*Fs*1000/2</f>
        <v>6.7738469896346598E-3</v>
      </c>
      <c r="C75" s="71" t="s">
        <v>42</v>
      </c>
      <c r="D75" s="71" t="s">
        <v>69</v>
      </c>
      <c r="E75" s="71"/>
      <c r="F75" s="18"/>
      <c r="G75" s="18"/>
      <c r="H75" s="18"/>
      <c r="I75" s="18"/>
      <c r="J75" s="18"/>
    </row>
    <row r="76" spans="1:10" s="34" customFormat="1" ht="12.95" customHeight="1">
      <c r="A76" s="71" t="s">
        <v>79</v>
      </c>
      <c r="B76" s="77">
        <f>B72+B73+B74+B75</f>
        <v>4.3002991037891264E-2</v>
      </c>
      <c r="C76" s="71" t="s">
        <v>42</v>
      </c>
      <c r="D76" s="71" t="s">
        <v>80</v>
      </c>
      <c r="E76" s="71"/>
      <c r="F76" s="18"/>
      <c r="G76" s="18"/>
      <c r="H76" s="18"/>
      <c r="I76" s="18"/>
      <c r="J76" s="18"/>
    </row>
    <row r="77" spans="1:10" s="34" customFormat="1" ht="12.95" customHeight="1">
      <c r="A77" s="71"/>
      <c r="B77" s="71"/>
      <c r="C77" s="71"/>
      <c r="D77" s="71"/>
      <c r="E77" s="71"/>
      <c r="F77" s="18"/>
      <c r="G77" s="18"/>
      <c r="H77" s="18"/>
      <c r="I77" s="18"/>
      <c r="J77" s="18"/>
    </row>
    <row r="78" spans="1:10" s="34" customFormat="1" ht="12.95" customHeight="1">
      <c r="A78" s="79" t="s">
        <v>81</v>
      </c>
      <c r="B78" s="71"/>
      <c r="C78" s="71"/>
      <c r="D78" s="71"/>
      <c r="E78" s="71"/>
      <c r="F78" s="18"/>
      <c r="G78" s="18"/>
      <c r="H78" s="18"/>
      <c r="I78" s="18"/>
      <c r="J78" s="18"/>
    </row>
    <row r="79" spans="1:10" s="34" customFormat="1" ht="12.95" customHeight="1">
      <c r="A79" s="71" t="s">
        <v>82</v>
      </c>
      <c r="B79" s="71">
        <f>IF(Vin&lt;5.7, Vin, 5)</f>
        <v>5</v>
      </c>
      <c r="C79" s="71" t="s">
        <v>4</v>
      </c>
      <c r="D79" s="71"/>
      <c r="E79" s="71"/>
      <c r="F79" s="18"/>
      <c r="G79" s="18"/>
      <c r="H79" s="18"/>
      <c r="I79" s="18"/>
      <c r="J79" s="18"/>
    </row>
    <row r="80" spans="1:10" s="34" customFormat="1" ht="12.95" customHeight="1">
      <c r="A80" s="71" t="s">
        <v>83</v>
      </c>
      <c r="B80" s="71">
        <f>IF(Vin&lt;5.7, Vin, 5)</f>
        <v>5</v>
      </c>
      <c r="C80" s="71" t="s">
        <v>4</v>
      </c>
      <c r="D80" s="71"/>
      <c r="E80" s="71"/>
      <c r="F80" s="18"/>
      <c r="G80" s="18"/>
      <c r="H80" s="18"/>
      <c r="I80" s="18"/>
      <c r="J80" s="18"/>
    </row>
    <row r="81" spans="1:10" s="34" customFormat="1" ht="12.95" customHeight="1">
      <c r="A81" s="71" t="s">
        <v>84</v>
      </c>
      <c r="B81" s="71">
        <v>5</v>
      </c>
      <c r="C81" s="71" t="s">
        <v>85</v>
      </c>
      <c r="D81" s="71" t="s">
        <v>86</v>
      </c>
      <c r="E81" s="71"/>
      <c r="F81" s="18"/>
      <c r="G81" s="18"/>
      <c r="H81" s="18"/>
      <c r="I81" s="18"/>
      <c r="J81" s="18"/>
    </row>
    <row r="82" spans="1:10" s="34" customFormat="1" ht="12.95" customHeight="1">
      <c r="A82" s="71" t="s">
        <v>87</v>
      </c>
      <c r="B82" s="77">
        <f>Fs*B79*B49*10^(-6)*B54</f>
        <v>7.5000000000000002E-4</v>
      </c>
      <c r="C82" s="71" t="s">
        <v>42</v>
      </c>
      <c r="D82" s="71" t="s">
        <v>88</v>
      </c>
      <c r="E82" s="71"/>
      <c r="F82" s="18"/>
      <c r="G82" s="18"/>
      <c r="H82" s="18"/>
      <c r="I82" s="18"/>
      <c r="J82" s="18"/>
    </row>
    <row r="83" spans="1:10" s="34" customFormat="1" ht="12.95" customHeight="1">
      <c r="A83" s="71" t="s">
        <v>89</v>
      </c>
      <c r="B83" s="77">
        <f>Fs*B80*B66*10^(-6)*B71</f>
        <v>7.5000000000000002E-4</v>
      </c>
      <c r="C83" s="71" t="s">
        <v>42</v>
      </c>
      <c r="D83" s="71" t="s">
        <v>90</v>
      </c>
      <c r="E83" s="71"/>
      <c r="F83" s="18"/>
      <c r="G83" s="18"/>
      <c r="H83" s="18"/>
      <c r="I83" s="18"/>
      <c r="J83" s="18"/>
    </row>
    <row r="84" spans="1:10" s="34" customFormat="1" ht="12.95" customHeight="1">
      <c r="A84" s="80" t="s">
        <v>91</v>
      </c>
      <c r="B84" s="81">
        <f>+(Vin-B80)*B81/1000</f>
        <v>0</v>
      </c>
      <c r="C84" s="80" t="s">
        <v>42</v>
      </c>
      <c r="D84" s="80" t="s">
        <v>92</v>
      </c>
      <c r="E84" s="80"/>
      <c r="F84" s="18"/>
      <c r="G84" s="18"/>
      <c r="H84" s="18"/>
      <c r="I84" s="18"/>
      <c r="J84" s="18"/>
    </row>
    <row r="85" spans="1:10" s="34" customFormat="1" ht="12.95" customHeight="1">
      <c r="A85" s="71" t="s">
        <v>93</v>
      </c>
      <c r="B85" s="77">
        <f>B82+B83+B84+B81*B80*0.001</f>
        <v>2.6500000000000003E-2</v>
      </c>
      <c r="C85" s="71" t="s">
        <v>42</v>
      </c>
      <c r="D85" s="71" t="s">
        <v>94</v>
      </c>
      <c r="E85" s="71"/>
      <c r="F85" s="18"/>
      <c r="G85" s="18"/>
      <c r="H85" s="18"/>
      <c r="I85" s="18"/>
      <c r="J85" s="18"/>
    </row>
    <row r="86" spans="1:10" s="34" customFormat="1" ht="12.95" customHeight="1">
      <c r="A86" s="71"/>
      <c r="B86" s="71"/>
      <c r="C86" s="71"/>
      <c r="D86" s="71"/>
      <c r="E86" s="71"/>
      <c r="F86" s="18"/>
      <c r="G86" s="18"/>
      <c r="H86" s="18"/>
      <c r="I86" s="18"/>
      <c r="J86" s="18"/>
    </row>
    <row r="87" spans="1:10" s="34" customFormat="1" ht="12.95" customHeight="1">
      <c r="A87" s="79" t="s">
        <v>95</v>
      </c>
      <c r="B87" s="71"/>
      <c r="C87" s="71"/>
      <c r="D87" s="71"/>
      <c r="E87" s="71"/>
      <c r="F87" s="18"/>
      <c r="G87" s="18"/>
      <c r="H87" s="18"/>
      <c r="I87" s="18"/>
      <c r="J87" s="18"/>
    </row>
    <row r="88" spans="1:10" s="34" customFormat="1" ht="12.95" customHeight="1">
      <c r="A88" s="71" t="s">
        <v>96</v>
      </c>
      <c r="B88" s="77">
        <f>0.7*10^(-9)*(Fs)^1.35*(57.8*0.5*Irip)^2.263</f>
        <v>1.463230549808459E-4</v>
      </c>
      <c r="C88" s="71" t="s">
        <v>42</v>
      </c>
      <c r="D88" s="71" t="s">
        <v>97</v>
      </c>
      <c r="E88" s="71"/>
      <c r="F88" s="18"/>
      <c r="G88" s="18"/>
      <c r="H88" s="18"/>
      <c r="I88" s="18"/>
      <c r="J88" s="18"/>
    </row>
    <row r="89" spans="1:10" s="34" customFormat="1" ht="12.95" customHeight="1">
      <c r="A89" s="71" t="s">
        <v>98</v>
      </c>
      <c r="B89" s="77">
        <f>DCR/1000*(Iout*SQRT(1+1/3*(Irip/Iout)^2))^2</f>
        <v>2.0149201066666667E-2</v>
      </c>
      <c r="C89" s="71" t="s">
        <v>42</v>
      </c>
      <c r="D89" s="71" t="s">
        <v>99</v>
      </c>
      <c r="E89" s="71"/>
      <c r="F89" s="18"/>
      <c r="G89" s="18"/>
      <c r="H89" s="18"/>
      <c r="I89" s="18"/>
      <c r="J89" s="18"/>
    </row>
    <row r="90" spans="1:10" s="34" customFormat="1" ht="12.95" customHeight="1">
      <c r="A90" s="71" t="s">
        <v>100</v>
      </c>
      <c r="B90" s="77">
        <f>B88+B89</f>
        <v>2.0295524121647514E-2</v>
      </c>
      <c r="C90" s="71" t="s">
        <v>42</v>
      </c>
      <c r="D90" s="71" t="s">
        <v>101</v>
      </c>
      <c r="E90" s="71"/>
      <c r="F90" s="18"/>
      <c r="G90" s="18"/>
      <c r="H90" s="18"/>
      <c r="I90" s="18"/>
      <c r="J90" s="18"/>
    </row>
    <row r="91" spans="1:10" s="34" customFormat="1" ht="12.95" customHeight="1">
      <c r="A91" s="71"/>
      <c r="B91" s="77"/>
      <c r="C91" s="71"/>
      <c r="D91" s="71"/>
      <c r="E91" s="71"/>
      <c r="F91" s="18"/>
      <c r="G91" s="18"/>
      <c r="H91" s="18"/>
      <c r="I91" s="18"/>
      <c r="J91" s="18"/>
    </row>
    <row r="92" spans="1:10" s="34" customFormat="1" ht="12.95" customHeight="1">
      <c r="A92" s="79" t="s">
        <v>102</v>
      </c>
      <c r="B92" s="71"/>
      <c r="C92" s="71"/>
      <c r="D92" s="71"/>
      <c r="E92" s="71"/>
      <c r="F92" s="18"/>
      <c r="G92" s="18"/>
      <c r="H92" s="18"/>
      <c r="I92" s="18"/>
      <c r="J92" s="18"/>
    </row>
    <row r="93" spans="1:10" s="34" customFormat="1" ht="12.95" customHeight="1">
      <c r="A93" s="71" t="s">
        <v>103</v>
      </c>
      <c r="B93" s="82">
        <f>(0.5*Irip/SQRT(3))^2*B33/B31/1000</f>
        <v>4.6625333333333349E-6</v>
      </c>
      <c r="C93" s="71" t="s">
        <v>42</v>
      </c>
      <c r="D93" s="71" t="s">
        <v>104</v>
      </c>
      <c r="E93" s="71"/>
      <c r="F93" s="18"/>
      <c r="G93" s="18"/>
      <c r="H93" s="18"/>
      <c r="I93" s="18"/>
      <c r="J93" s="18"/>
    </row>
    <row r="94" spans="1:10" s="34" customFormat="1" ht="12.95" customHeight="1">
      <c r="A94" s="71"/>
      <c r="B94" s="71"/>
      <c r="C94" s="71"/>
      <c r="D94" s="71"/>
      <c r="E94" s="71"/>
      <c r="F94" s="18"/>
      <c r="G94" s="18"/>
      <c r="H94" s="18"/>
      <c r="I94" s="18"/>
      <c r="J94" s="18"/>
    </row>
    <row r="95" spans="1:10" s="34" customFormat="1" ht="12.95" customHeight="1">
      <c r="A95" s="72" t="s">
        <v>38</v>
      </c>
      <c r="B95" s="83">
        <f>B85+B76+B60+B90</f>
        <v>0.17569017632541359</v>
      </c>
      <c r="C95" s="79" t="s">
        <v>42</v>
      </c>
      <c r="D95" s="71"/>
      <c r="E95" s="71"/>
      <c r="F95" s="18"/>
      <c r="G95" s="18"/>
      <c r="H95" s="18"/>
      <c r="I95" s="18"/>
      <c r="J95" s="18"/>
    </row>
    <row r="96" spans="1:10" s="34" customFormat="1" ht="12.95" customHeight="1">
      <c r="A96" s="72" t="s">
        <v>40</v>
      </c>
      <c r="B96" s="83">
        <f>Vout*Iout/(Vout*Iout+B95)*100</f>
        <v>94.945171536803727</v>
      </c>
      <c r="C96" s="79" t="s">
        <v>14</v>
      </c>
      <c r="D96" s="71"/>
      <c r="E96" s="71"/>
      <c r="F96" s="18"/>
      <c r="G96" s="18"/>
      <c r="H96" s="18"/>
      <c r="I96" s="18"/>
      <c r="J96" s="18"/>
    </row>
    <row r="97" spans="1:10" s="33" customFormat="1" ht="12.95" customHeight="1">
      <c r="A97" s="46"/>
      <c r="B97" s="46"/>
      <c r="C97" s="46"/>
      <c r="D97" s="46"/>
      <c r="E97" s="46"/>
      <c r="F97" s="4"/>
      <c r="G97" s="4"/>
      <c r="H97" s="19"/>
      <c r="I97" s="19"/>
      <c r="J97" s="19"/>
    </row>
    <row r="98" spans="1:10" ht="12.95" customHeight="1">
      <c r="A98" s="46"/>
      <c r="B98" s="46"/>
      <c r="C98" s="46"/>
      <c r="D98" s="46"/>
      <c r="E98" s="46"/>
      <c r="F98" s="4"/>
      <c r="G98" s="4"/>
      <c r="H98" s="19"/>
      <c r="I98" s="19"/>
      <c r="J98" s="19"/>
    </row>
    <row r="99" spans="1:10" ht="12.95" customHeight="1">
      <c r="A99" s="4"/>
      <c r="B99" s="4"/>
      <c r="C99" s="4"/>
      <c r="D99" s="4"/>
      <c r="E99" s="4"/>
      <c r="F99" s="4"/>
      <c r="G99" s="4"/>
      <c r="H99" s="19"/>
      <c r="I99" s="19"/>
      <c r="J99" s="19"/>
    </row>
    <row r="100" spans="1:10" ht="12.95" customHeight="1">
      <c r="A100" s="4"/>
      <c r="B100" s="35"/>
      <c r="C100" s="4"/>
      <c r="D100" s="4"/>
      <c r="E100" s="4"/>
      <c r="F100" s="4"/>
      <c r="G100" s="4"/>
      <c r="H100" s="19"/>
      <c r="I100" s="19"/>
      <c r="J100" s="19"/>
    </row>
    <row r="101" spans="1:10" ht="12.95" customHeight="1">
      <c r="A101" s="4"/>
      <c r="B101" s="4"/>
      <c r="C101" s="4"/>
      <c r="D101" s="4"/>
      <c r="E101" s="4"/>
      <c r="F101" s="4"/>
      <c r="G101" s="4"/>
      <c r="H101" s="19"/>
      <c r="I101" s="19"/>
      <c r="J101" s="19"/>
    </row>
    <row r="102" spans="1:10" ht="12.95" customHeight="1">
      <c r="A102" s="4"/>
      <c r="B102" s="4"/>
      <c r="C102" s="4"/>
      <c r="D102" s="4"/>
      <c r="E102" s="4"/>
      <c r="F102" s="4"/>
      <c r="G102" s="4"/>
      <c r="H102" s="19"/>
      <c r="I102" s="19"/>
      <c r="J102" s="19"/>
    </row>
    <row r="103" spans="1:10" ht="12.95" customHeight="1">
      <c r="A103" s="4"/>
      <c r="B103" s="4"/>
      <c r="C103" s="4"/>
      <c r="D103" s="4"/>
      <c r="E103" s="4"/>
      <c r="F103" s="4"/>
      <c r="G103" s="4"/>
      <c r="H103" s="19"/>
      <c r="I103" s="19"/>
      <c r="J103" s="19"/>
    </row>
    <row r="104" spans="1:10" ht="12.95" customHeight="1">
      <c r="A104" s="4"/>
      <c r="B104" s="4"/>
      <c r="C104" s="4"/>
      <c r="D104" s="4"/>
      <c r="E104" s="4"/>
      <c r="F104" s="4"/>
      <c r="G104" s="4"/>
      <c r="H104" s="19"/>
      <c r="I104" s="19"/>
      <c r="J104" s="19"/>
    </row>
    <row r="105" spans="1:10" ht="12.95" customHeight="1">
      <c r="A105" s="4"/>
      <c r="B105" s="4"/>
      <c r="C105" s="4"/>
      <c r="D105" s="4"/>
      <c r="E105" s="4"/>
      <c r="F105" s="4"/>
      <c r="G105" s="4"/>
      <c r="H105" s="19"/>
      <c r="I105" s="19"/>
      <c r="J105" s="19"/>
    </row>
    <row r="106" spans="1:10" ht="12.95" customHeight="1">
      <c r="A106" s="4"/>
      <c r="B106" s="4"/>
      <c r="C106" s="4"/>
      <c r="D106" s="4"/>
      <c r="E106" s="4"/>
      <c r="F106" s="4"/>
      <c r="G106" s="4"/>
      <c r="H106" s="19"/>
    </row>
    <row r="107" spans="1:10" ht="12.95" customHeight="1">
      <c r="A107" s="4"/>
      <c r="B107" s="4"/>
      <c r="C107" s="4"/>
      <c r="D107" s="4"/>
      <c r="E107" s="4"/>
      <c r="F107" s="4"/>
      <c r="G107" s="4"/>
    </row>
    <row r="108" spans="1:10" ht="12.95" customHeight="1">
      <c r="A108" s="4"/>
      <c r="B108" s="4"/>
      <c r="C108" s="4"/>
      <c r="D108" s="4"/>
      <c r="E108" s="4"/>
      <c r="F108" s="4"/>
      <c r="G108" s="4"/>
    </row>
    <row r="109" spans="1:10" ht="12.95" customHeight="1">
      <c r="A109" s="4"/>
      <c r="B109" s="4"/>
      <c r="C109" s="4"/>
      <c r="D109" s="4"/>
      <c r="E109" s="4"/>
      <c r="F109" s="4"/>
      <c r="G109" s="4"/>
    </row>
    <row r="110" spans="1:10" ht="12.95" customHeight="1">
      <c r="A110" s="4"/>
      <c r="B110" s="4"/>
      <c r="C110" s="4"/>
      <c r="D110" s="4"/>
      <c r="E110" s="4"/>
      <c r="F110" s="4"/>
      <c r="G110" s="4"/>
    </row>
    <row r="111" spans="1:10" ht="12.95" customHeight="1">
      <c r="A111" s="4"/>
      <c r="B111" s="4"/>
      <c r="C111" s="4"/>
      <c r="D111" s="4"/>
      <c r="E111" s="4"/>
      <c r="F111" s="4"/>
      <c r="G111" s="4"/>
    </row>
    <row r="112" spans="1:10" ht="12.95" customHeight="1">
      <c r="A112" s="4"/>
      <c r="B112" s="4"/>
      <c r="C112" s="4"/>
      <c r="D112" s="4"/>
      <c r="E112" s="4"/>
      <c r="F112" s="4"/>
      <c r="G112" s="4"/>
    </row>
    <row r="113" spans="1:7" ht="12.95" customHeight="1">
      <c r="A113" s="4"/>
      <c r="B113" s="4"/>
      <c r="C113" s="4"/>
      <c r="D113" s="4"/>
      <c r="E113" s="4"/>
      <c r="F113" s="4"/>
      <c r="G113" s="4"/>
    </row>
    <row r="114" spans="1:7" ht="12.95" customHeight="1">
      <c r="A114" s="4"/>
      <c r="B114" s="4"/>
      <c r="C114" s="4"/>
      <c r="D114" s="4"/>
      <c r="E114" s="4"/>
      <c r="F114" s="4"/>
      <c r="G114" s="4"/>
    </row>
    <row r="115" spans="1:7" ht="12.95" customHeight="1">
      <c r="A115" s="4"/>
      <c r="B115" s="4"/>
      <c r="C115" s="4"/>
      <c r="D115" s="4"/>
      <c r="E115" s="4"/>
      <c r="F115" s="4"/>
      <c r="G115" s="4"/>
    </row>
    <row r="116" spans="1:7" ht="12.95" customHeight="1">
      <c r="A116" s="4"/>
      <c r="B116" s="4"/>
      <c r="C116" s="4"/>
      <c r="D116" s="4"/>
      <c r="E116" s="4"/>
      <c r="F116" s="4"/>
      <c r="G116" s="4"/>
    </row>
    <row r="117" spans="1:7" ht="12.95" customHeight="1"/>
    <row r="118" spans="1:7" ht="12.95" customHeight="1"/>
  </sheetData>
  <sheetProtection password="C6F9" sheet="1" objects="1" scenarios="1" selectLockedCells="1"/>
  <conditionalFormatting sqref="A19">
    <cfRule type="containsText" dxfId="3" priority="1" operator="containsText" text="Input Voltage (4.2V-18V)">
      <formula>NOT(ISERROR(SEARCH("Input Voltage (4.2V-18V)",A19)))</formula>
    </cfRule>
  </conditionalFormatting>
  <conditionalFormatting sqref="A20">
    <cfRule type="containsText" dxfId="2" priority="3" operator="containsText" text="Output Voltage out of Range">
      <formula>NOT(ISERROR(SEARCH("Output Voltage out of Range",A20)))</formula>
    </cfRule>
  </conditionalFormatting>
  <conditionalFormatting sqref="B19">
    <cfRule type="cellIs" dxfId="1" priority="4" operator="between">
      <formula>4.2</formula>
      <formula>18</formula>
    </cfRule>
  </conditionalFormatting>
  <conditionalFormatting sqref="B20">
    <cfRule type="cellIs" dxfId="0" priority="2" operator="between">
      <formula>0.763</formula>
      <formula>7</formula>
    </cfRule>
  </conditionalFormatting>
  <dataValidations count="1">
    <dataValidation type="list" allowBlank="1" showInputMessage="1" showErrorMessage="1" sqref="B17" xr:uid="{00000000-0002-0000-0000-000000000000}">
      <formula1>$J$44:$J$54</formula1>
    </dataValidation>
  </dataValidations>
  <pageMargins left="0.7" right="0.7" top="0.75" bottom="0.75" header="0.3" footer="0.3"/>
  <pageSetup orientation="portrait" verticalDpi="598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 sizeWithCells="1">
              <from>
                <xdr:col>7</xdr:col>
                <xdr:colOff>85725</xdr:colOff>
                <xdr:row>16</xdr:row>
                <xdr:rowOff>0</xdr:rowOff>
              </from>
              <to>
                <xdr:col>18</xdr:col>
                <xdr:colOff>304800</xdr:colOff>
                <xdr:row>42</xdr:row>
                <xdr:rowOff>76200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151"/>
  <sheetViews>
    <sheetView topLeftCell="A6" workbookViewId="0">
      <selection activeCell="B9" sqref="B9"/>
    </sheetView>
  </sheetViews>
  <sheetFormatPr defaultRowHeight="12.95" customHeight="1"/>
  <cols>
    <col min="1" max="1" width="15.7109375" style="2" customWidth="1"/>
    <col min="2" max="2" width="17.140625" style="2" customWidth="1"/>
    <col min="3" max="3" width="11.85546875" style="2" customWidth="1"/>
    <col min="4" max="4" width="19.7109375" style="2" customWidth="1"/>
    <col min="5" max="5" width="9.42578125" style="2" customWidth="1"/>
    <col min="6" max="6" width="10.7109375" style="2" customWidth="1"/>
    <col min="7" max="7" width="27.140625" style="2" customWidth="1"/>
    <col min="8" max="8" width="23.7109375" style="2" customWidth="1"/>
    <col min="9" max="13" width="9.28515625" style="2" bestFit="1" customWidth="1"/>
    <col min="14" max="15" width="12.28515625" style="2" bestFit="1" customWidth="1"/>
    <col min="16" max="17" width="9.28515625" style="2" bestFit="1" customWidth="1"/>
    <col min="18" max="256" width="9.140625" style="2"/>
    <col min="257" max="257" width="15.7109375" style="2" customWidth="1"/>
    <col min="258" max="258" width="17.140625" style="2" customWidth="1"/>
    <col min="259" max="259" width="11.85546875" style="2" customWidth="1"/>
    <col min="260" max="260" width="11" style="2" customWidth="1"/>
    <col min="261" max="261" width="24.7109375" style="2" customWidth="1"/>
    <col min="262" max="262" width="10.7109375" style="2" customWidth="1"/>
    <col min="263" max="263" width="27.140625" style="2" customWidth="1"/>
    <col min="264" max="264" width="23.7109375" style="2" customWidth="1"/>
    <col min="265" max="512" width="9.140625" style="2"/>
    <col min="513" max="513" width="15.7109375" style="2" customWidth="1"/>
    <col min="514" max="514" width="17.140625" style="2" customWidth="1"/>
    <col min="515" max="515" width="11.85546875" style="2" customWidth="1"/>
    <col min="516" max="516" width="11" style="2" customWidth="1"/>
    <col min="517" max="517" width="24.7109375" style="2" customWidth="1"/>
    <col min="518" max="518" width="10.7109375" style="2" customWidth="1"/>
    <col min="519" max="519" width="27.140625" style="2" customWidth="1"/>
    <col min="520" max="520" width="23.7109375" style="2" customWidth="1"/>
    <col min="521" max="768" width="9.140625" style="2"/>
    <col min="769" max="769" width="15.7109375" style="2" customWidth="1"/>
    <col min="770" max="770" width="17.140625" style="2" customWidth="1"/>
    <col min="771" max="771" width="11.85546875" style="2" customWidth="1"/>
    <col min="772" max="772" width="11" style="2" customWidth="1"/>
    <col min="773" max="773" width="24.7109375" style="2" customWidth="1"/>
    <col min="774" max="774" width="10.7109375" style="2" customWidth="1"/>
    <col min="775" max="775" width="27.140625" style="2" customWidth="1"/>
    <col min="776" max="776" width="23.7109375" style="2" customWidth="1"/>
    <col min="777" max="1024" width="9.140625" style="2"/>
    <col min="1025" max="1025" width="15.7109375" style="2" customWidth="1"/>
    <col min="1026" max="1026" width="17.140625" style="2" customWidth="1"/>
    <col min="1027" max="1027" width="11.85546875" style="2" customWidth="1"/>
    <col min="1028" max="1028" width="11" style="2" customWidth="1"/>
    <col min="1029" max="1029" width="24.7109375" style="2" customWidth="1"/>
    <col min="1030" max="1030" width="10.7109375" style="2" customWidth="1"/>
    <col min="1031" max="1031" width="27.140625" style="2" customWidth="1"/>
    <col min="1032" max="1032" width="23.7109375" style="2" customWidth="1"/>
    <col min="1033" max="1280" width="9.140625" style="2"/>
    <col min="1281" max="1281" width="15.7109375" style="2" customWidth="1"/>
    <col min="1282" max="1282" width="17.140625" style="2" customWidth="1"/>
    <col min="1283" max="1283" width="11.85546875" style="2" customWidth="1"/>
    <col min="1284" max="1284" width="11" style="2" customWidth="1"/>
    <col min="1285" max="1285" width="24.7109375" style="2" customWidth="1"/>
    <col min="1286" max="1286" width="10.7109375" style="2" customWidth="1"/>
    <col min="1287" max="1287" width="27.140625" style="2" customWidth="1"/>
    <col min="1288" max="1288" width="23.7109375" style="2" customWidth="1"/>
    <col min="1289" max="1536" width="9.140625" style="2"/>
    <col min="1537" max="1537" width="15.7109375" style="2" customWidth="1"/>
    <col min="1538" max="1538" width="17.140625" style="2" customWidth="1"/>
    <col min="1539" max="1539" width="11.85546875" style="2" customWidth="1"/>
    <col min="1540" max="1540" width="11" style="2" customWidth="1"/>
    <col min="1541" max="1541" width="24.7109375" style="2" customWidth="1"/>
    <col min="1542" max="1542" width="10.7109375" style="2" customWidth="1"/>
    <col min="1543" max="1543" width="27.140625" style="2" customWidth="1"/>
    <col min="1544" max="1544" width="23.7109375" style="2" customWidth="1"/>
    <col min="1545" max="1792" width="9.140625" style="2"/>
    <col min="1793" max="1793" width="15.7109375" style="2" customWidth="1"/>
    <col min="1794" max="1794" width="17.140625" style="2" customWidth="1"/>
    <col min="1795" max="1795" width="11.85546875" style="2" customWidth="1"/>
    <col min="1796" max="1796" width="11" style="2" customWidth="1"/>
    <col min="1797" max="1797" width="24.7109375" style="2" customWidth="1"/>
    <col min="1798" max="1798" width="10.7109375" style="2" customWidth="1"/>
    <col min="1799" max="1799" width="27.140625" style="2" customWidth="1"/>
    <col min="1800" max="1800" width="23.7109375" style="2" customWidth="1"/>
    <col min="1801" max="2048" width="9.140625" style="2"/>
    <col min="2049" max="2049" width="15.7109375" style="2" customWidth="1"/>
    <col min="2050" max="2050" width="17.140625" style="2" customWidth="1"/>
    <col min="2051" max="2051" width="11.85546875" style="2" customWidth="1"/>
    <col min="2052" max="2052" width="11" style="2" customWidth="1"/>
    <col min="2053" max="2053" width="24.7109375" style="2" customWidth="1"/>
    <col min="2054" max="2054" width="10.7109375" style="2" customWidth="1"/>
    <col min="2055" max="2055" width="27.140625" style="2" customWidth="1"/>
    <col min="2056" max="2056" width="23.7109375" style="2" customWidth="1"/>
    <col min="2057" max="2304" width="9.140625" style="2"/>
    <col min="2305" max="2305" width="15.7109375" style="2" customWidth="1"/>
    <col min="2306" max="2306" width="17.140625" style="2" customWidth="1"/>
    <col min="2307" max="2307" width="11.85546875" style="2" customWidth="1"/>
    <col min="2308" max="2308" width="11" style="2" customWidth="1"/>
    <col min="2309" max="2309" width="24.7109375" style="2" customWidth="1"/>
    <col min="2310" max="2310" width="10.7109375" style="2" customWidth="1"/>
    <col min="2311" max="2311" width="27.140625" style="2" customWidth="1"/>
    <col min="2312" max="2312" width="23.7109375" style="2" customWidth="1"/>
    <col min="2313" max="2560" width="9.140625" style="2"/>
    <col min="2561" max="2561" width="15.7109375" style="2" customWidth="1"/>
    <col min="2562" max="2562" width="17.140625" style="2" customWidth="1"/>
    <col min="2563" max="2563" width="11.85546875" style="2" customWidth="1"/>
    <col min="2564" max="2564" width="11" style="2" customWidth="1"/>
    <col min="2565" max="2565" width="24.7109375" style="2" customWidth="1"/>
    <col min="2566" max="2566" width="10.7109375" style="2" customWidth="1"/>
    <col min="2567" max="2567" width="27.140625" style="2" customWidth="1"/>
    <col min="2568" max="2568" width="23.7109375" style="2" customWidth="1"/>
    <col min="2569" max="2816" width="9.140625" style="2"/>
    <col min="2817" max="2817" width="15.7109375" style="2" customWidth="1"/>
    <col min="2818" max="2818" width="17.140625" style="2" customWidth="1"/>
    <col min="2819" max="2819" width="11.85546875" style="2" customWidth="1"/>
    <col min="2820" max="2820" width="11" style="2" customWidth="1"/>
    <col min="2821" max="2821" width="24.7109375" style="2" customWidth="1"/>
    <col min="2822" max="2822" width="10.7109375" style="2" customWidth="1"/>
    <col min="2823" max="2823" width="27.140625" style="2" customWidth="1"/>
    <col min="2824" max="2824" width="23.7109375" style="2" customWidth="1"/>
    <col min="2825" max="3072" width="9.140625" style="2"/>
    <col min="3073" max="3073" width="15.7109375" style="2" customWidth="1"/>
    <col min="3074" max="3074" width="17.140625" style="2" customWidth="1"/>
    <col min="3075" max="3075" width="11.85546875" style="2" customWidth="1"/>
    <col min="3076" max="3076" width="11" style="2" customWidth="1"/>
    <col min="3077" max="3077" width="24.7109375" style="2" customWidth="1"/>
    <col min="3078" max="3078" width="10.7109375" style="2" customWidth="1"/>
    <col min="3079" max="3079" width="27.140625" style="2" customWidth="1"/>
    <col min="3080" max="3080" width="23.7109375" style="2" customWidth="1"/>
    <col min="3081" max="3328" width="9.140625" style="2"/>
    <col min="3329" max="3329" width="15.7109375" style="2" customWidth="1"/>
    <col min="3330" max="3330" width="17.140625" style="2" customWidth="1"/>
    <col min="3331" max="3331" width="11.85546875" style="2" customWidth="1"/>
    <col min="3332" max="3332" width="11" style="2" customWidth="1"/>
    <col min="3333" max="3333" width="24.7109375" style="2" customWidth="1"/>
    <col min="3334" max="3334" width="10.7109375" style="2" customWidth="1"/>
    <col min="3335" max="3335" width="27.140625" style="2" customWidth="1"/>
    <col min="3336" max="3336" width="23.7109375" style="2" customWidth="1"/>
    <col min="3337" max="3584" width="9.140625" style="2"/>
    <col min="3585" max="3585" width="15.7109375" style="2" customWidth="1"/>
    <col min="3586" max="3586" width="17.140625" style="2" customWidth="1"/>
    <col min="3587" max="3587" width="11.85546875" style="2" customWidth="1"/>
    <col min="3588" max="3588" width="11" style="2" customWidth="1"/>
    <col min="3589" max="3589" width="24.7109375" style="2" customWidth="1"/>
    <col min="3590" max="3590" width="10.7109375" style="2" customWidth="1"/>
    <col min="3591" max="3591" width="27.140625" style="2" customWidth="1"/>
    <col min="3592" max="3592" width="23.7109375" style="2" customWidth="1"/>
    <col min="3593" max="3840" width="9.140625" style="2"/>
    <col min="3841" max="3841" width="15.7109375" style="2" customWidth="1"/>
    <col min="3842" max="3842" width="17.140625" style="2" customWidth="1"/>
    <col min="3843" max="3843" width="11.85546875" style="2" customWidth="1"/>
    <col min="3844" max="3844" width="11" style="2" customWidth="1"/>
    <col min="3845" max="3845" width="24.7109375" style="2" customWidth="1"/>
    <col min="3846" max="3846" width="10.7109375" style="2" customWidth="1"/>
    <col min="3847" max="3847" width="27.140625" style="2" customWidth="1"/>
    <col min="3848" max="3848" width="23.7109375" style="2" customWidth="1"/>
    <col min="3849" max="4096" width="9.140625" style="2"/>
    <col min="4097" max="4097" width="15.7109375" style="2" customWidth="1"/>
    <col min="4098" max="4098" width="17.140625" style="2" customWidth="1"/>
    <col min="4099" max="4099" width="11.85546875" style="2" customWidth="1"/>
    <col min="4100" max="4100" width="11" style="2" customWidth="1"/>
    <col min="4101" max="4101" width="24.7109375" style="2" customWidth="1"/>
    <col min="4102" max="4102" width="10.7109375" style="2" customWidth="1"/>
    <col min="4103" max="4103" width="27.140625" style="2" customWidth="1"/>
    <col min="4104" max="4104" width="23.7109375" style="2" customWidth="1"/>
    <col min="4105" max="4352" width="9.140625" style="2"/>
    <col min="4353" max="4353" width="15.7109375" style="2" customWidth="1"/>
    <col min="4354" max="4354" width="17.140625" style="2" customWidth="1"/>
    <col min="4355" max="4355" width="11.85546875" style="2" customWidth="1"/>
    <col min="4356" max="4356" width="11" style="2" customWidth="1"/>
    <col min="4357" max="4357" width="24.7109375" style="2" customWidth="1"/>
    <col min="4358" max="4358" width="10.7109375" style="2" customWidth="1"/>
    <col min="4359" max="4359" width="27.140625" style="2" customWidth="1"/>
    <col min="4360" max="4360" width="23.7109375" style="2" customWidth="1"/>
    <col min="4361" max="4608" width="9.140625" style="2"/>
    <col min="4609" max="4609" width="15.7109375" style="2" customWidth="1"/>
    <col min="4610" max="4610" width="17.140625" style="2" customWidth="1"/>
    <col min="4611" max="4611" width="11.85546875" style="2" customWidth="1"/>
    <col min="4612" max="4612" width="11" style="2" customWidth="1"/>
    <col min="4613" max="4613" width="24.7109375" style="2" customWidth="1"/>
    <col min="4614" max="4614" width="10.7109375" style="2" customWidth="1"/>
    <col min="4615" max="4615" width="27.140625" style="2" customWidth="1"/>
    <col min="4616" max="4616" width="23.7109375" style="2" customWidth="1"/>
    <col min="4617" max="4864" width="9.140625" style="2"/>
    <col min="4865" max="4865" width="15.7109375" style="2" customWidth="1"/>
    <col min="4866" max="4866" width="17.140625" style="2" customWidth="1"/>
    <col min="4867" max="4867" width="11.85546875" style="2" customWidth="1"/>
    <col min="4868" max="4868" width="11" style="2" customWidth="1"/>
    <col min="4869" max="4869" width="24.7109375" style="2" customWidth="1"/>
    <col min="4870" max="4870" width="10.7109375" style="2" customWidth="1"/>
    <col min="4871" max="4871" width="27.140625" style="2" customWidth="1"/>
    <col min="4872" max="4872" width="23.7109375" style="2" customWidth="1"/>
    <col min="4873" max="5120" width="9.140625" style="2"/>
    <col min="5121" max="5121" width="15.7109375" style="2" customWidth="1"/>
    <col min="5122" max="5122" width="17.140625" style="2" customWidth="1"/>
    <col min="5123" max="5123" width="11.85546875" style="2" customWidth="1"/>
    <col min="5124" max="5124" width="11" style="2" customWidth="1"/>
    <col min="5125" max="5125" width="24.7109375" style="2" customWidth="1"/>
    <col min="5126" max="5126" width="10.7109375" style="2" customWidth="1"/>
    <col min="5127" max="5127" width="27.140625" style="2" customWidth="1"/>
    <col min="5128" max="5128" width="23.7109375" style="2" customWidth="1"/>
    <col min="5129" max="5376" width="9.140625" style="2"/>
    <col min="5377" max="5377" width="15.7109375" style="2" customWidth="1"/>
    <col min="5378" max="5378" width="17.140625" style="2" customWidth="1"/>
    <col min="5379" max="5379" width="11.85546875" style="2" customWidth="1"/>
    <col min="5380" max="5380" width="11" style="2" customWidth="1"/>
    <col min="5381" max="5381" width="24.7109375" style="2" customWidth="1"/>
    <col min="5382" max="5382" width="10.7109375" style="2" customWidth="1"/>
    <col min="5383" max="5383" width="27.140625" style="2" customWidth="1"/>
    <col min="5384" max="5384" width="23.7109375" style="2" customWidth="1"/>
    <col min="5385" max="5632" width="9.140625" style="2"/>
    <col min="5633" max="5633" width="15.7109375" style="2" customWidth="1"/>
    <col min="5634" max="5634" width="17.140625" style="2" customWidth="1"/>
    <col min="5635" max="5635" width="11.85546875" style="2" customWidth="1"/>
    <col min="5636" max="5636" width="11" style="2" customWidth="1"/>
    <col min="5637" max="5637" width="24.7109375" style="2" customWidth="1"/>
    <col min="5638" max="5638" width="10.7109375" style="2" customWidth="1"/>
    <col min="5639" max="5639" width="27.140625" style="2" customWidth="1"/>
    <col min="5640" max="5640" width="23.7109375" style="2" customWidth="1"/>
    <col min="5641" max="5888" width="9.140625" style="2"/>
    <col min="5889" max="5889" width="15.7109375" style="2" customWidth="1"/>
    <col min="5890" max="5890" width="17.140625" style="2" customWidth="1"/>
    <col min="5891" max="5891" width="11.85546875" style="2" customWidth="1"/>
    <col min="5892" max="5892" width="11" style="2" customWidth="1"/>
    <col min="5893" max="5893" width="24.7109375" style="2" customWidth="1"/>
    <col min="5894" max="5894" width="10.7109375" style="2" customWidth="1"/>
    <col min="5895" max="5895" width="27.140625" style="2" customWidth="1"/>
    <col min="5896" max="5896" width="23.7109375" style="2" customWidth="1"/>
    <col min="5897" max="6144" width="9.140625" style="2"/>
    <col min="6145" max="6145" width="15.7109375" style="2" customWidth="1"/>
    <col min="6146" max="6146" width="17.140625" style="2" customWidth="1"/>
    <col min="6147" max="6147" width="11.85546875" style="2" customWidth="1"/>
    <col min="6148" max="6148" width="11" style="2" customWidth="1"/>
    <col min="6149" max="6149" width="24.7109375" style="2" customWidth="1"/>
    <col min="6150" max="6150" width="10.7109375" style="2" customWidth="1"/>
    <col min="6151" max="6151" width="27.140625" style="2" customWidth="1"/>
    <col min="6152" max="6152" width="23.7109375" style="2" customWidth="1"/>
    <col min="6153" max="6400" width="9.140625" style="2"/>
    <col min="6401" max="6401" width="15.7109375" style="2" customWidth="1"/>
    <col min="6402" max="6402" width="17.140625" style="2" customWidth="1"/>
    <col min="6403" max="6403" width="11.85546875" style="2" customWidth="1"/>
    <col min="6404" max="6404" width="11" style="2" customWidth="1"/>
    <col min="6405" max="6405" width="24.7109375" style="2" customWidth="1"/>
    <col min="6406" max="6406" width="10.7109375" style="2" customWidth="1"/>
    <col min="6407" max="6407" width="27.140625" style="2" customWidth="1"/>
    <col min="6408" max="6408" width="23.7109375" style="2" customWidth="1"/>
    <col min="6409" max="6656" width="9.140625" style="2"/>
    <col min="6657" max="6657" width="15.7109375" style="2" customWidth="1"/>
    <col min="6658" max="6658" width="17.140625" style="2" customWidth="1"/>
    <col min="6659" max="6659" width="11.85546875" style="2" customWidth="1"/>
    <col min="6660" max="6660" width="11" style="2" customWidth="1"/>
    <col min="6661" max="6661" width="24.7109375" style="2" customWidth="1"/>
    <col min="6662" max="6662" width="10.7109375" style="2" customWidth="1"/>
    <col min="6663" max="6663" width="27.140625" style="2" customWidth="1"/>
    <col min="6664" max="6664" width="23.7109375" style="2" customWidth="1"/>
    <col min="6665" max="6912" width="9.140625" style="2"/>
    <col min="6913" max="6913" width="15.7109375" style="2" customWidth="1"/>
    <col min="6914" max="6914" width="17.140625" style="2" customWidth="1"/>
    <col min="6915" max="6915" width="11.85546875" style="2" customWidth="1"/>
    <col min="6916" max="6916" width="11" style="2" customWidth="1"/>
    <col min="6917" max="6917" width="24.7109375" style="2" customWidth="1"/>
    <col min="6918" max="6918" width="10.7109375" style="2" customWidth="1"/>
    <col min="6919" max="6919" width="27.140625" style="2" customWidth="1"/>
    <col min="6920" max="6920" width="23.7109375" style="2" customWidth="1"/>
    <col min="6921" max="7168" width="9.140625" style="2"/>
    <col min="7169" max="7169" width="15.7109375" style="2" customWidth="1"/>
    <col min="7170" max="7170" width="17.140625" style="2" customWidth="1"/>
    <col min="7171" max="7171" width="11.85546875" style="2" customWidth="1"/>
    <col min="7172" max="7172" width="11" style="2" customWidth="1"/>
    <col min="7173" max="7173" width="24.7109375" style="2" customWidth="1"/>
    <col min="7174" max="7174" width="10.7109375" style="2" customWidth="1"/>
    <col min="7175" max="7175" width="27.140625" style="2" customWidth="1"/>
    <col min="7176" max="7176" width="23.7109375" style="2" customWidth="1"/>
    <col min="7177" max="7424" width="9.140625" style="2"/>
    <col min="7425" max="7425" width="15.7109375" style="2" customWidth="1"/>
    <col min="7426" max="7426" width="17.140625" style="2" customWidth="1"/>
    <col min="7427" max="7427" width="11.85546875" style="2" customWidth="1"/>
    <col min="7428" max="7428" width="11" style="2" customWidth="1"/>
    <col min="7429" max="7429" width="24.7109375" style="2" customWidth="1"/>
    <col min="7430" max="7430" width="10.7109375" style="2" customWidth="1"/>
    <col min="7431" max="7431" width="27.140625" style="2" customWidth="1"/>
    <col min="7432" max="7432" width="23.7109375" style="2" customWidth="1"/>
    <col min="7433" max="7680" width="9.140625" style="2"/>
    <col min="7681" max="7681" width="15.7109375" style="2" customWidth="1"/>
    <col min="7682" max="7682" width="17.140625" style="2" customWidth="1"/>
    <col min="7683" max="7683" width="11.85546875" style="2" customWidth="1"/>
    <col min="7684" max="7684" width="11" style="2" customWidth="1"/>
    <col min="7685" max="7685" width="24.7109375" style="2" customWidth="1"/>
    <col min="7686" max="7686" width="10.7109375" style="2" customWidth="1"/>
    <col min="7687" max="7687" width="27.140625" style="2" customWidth="1"/>
    <col min="7688" max="7688" width="23.7109375" style="2" customWidth="1"/>
    <col min="7689" max="7936" width="9.140625" style="2"/>
    <col min="7937" max="7937" width="15.7109375" style="2" customWidth="1"/>
    <col min="7938" max="7938" width="17.140625" style="2" customWidth="1"/>
    <col min="7939" max="7939" width="11.85546875" style="2" customWidth="1"/>
    <col min="7940" max="7940" width="11" style="2" customWidth="1"/>
    <col min="7941" max="7941" width="24.7109375" style="2" customWidth="1"/>
    <col min="7942" max="7942" width="10.7109375" style="2" customWidth="1"/>
    <col min="7943" max="7943" width="27.140625" style="2" customWidth="1"/>
    <col min="7944" max="7944" width="23.7109375" style="2" customWidth="1"/>
    <col min="7945" max="8192" width="9.140625" style="2"/>
    <col min="8193" max="8193" width="15.7109375" style="2" customWidth="1"/>
    <col min="8194" max="8194" width="17.140625" style="2" customWidth="1"/>
    <col min="8195" max="8195" width="11.85546875" style="2" customWidth="1"/>
    <col min="8196" max="8196" width="11" style="2" customWidth="1"/>
    <col min="8197" max="8197" width="24.7109375" style="2" customWidth="1"/>
    <col min="8198" max="8198" width="10.7109375" style="2" customWidth="1"/>
    <col min="8199" max="8199" width="27.140625" style="2" customWidth="1"/>
    <col min="8200" max="8200" width="23.7109375" style="2" customWidth="1"/>
    <col min="8201" max="8448" width="9.140625" style="2"/>
    <col min="8449" max="8449" width="15.7109375" style="2" customWidth="1"/>
    <col min="8450" max="8450" width="17.140625" style="2" customWidth="1"/>
    <col min="8451" max="8451" width="11.85546875" style="2" customWidth="1"/>
    <col min="8452" max="8452" width="11" style="2" customWidth="1"/>
    <col min="8453" max="8453" width="24.7109375" style="2" customWidth="1"/>
    <col min="8454" max="8454" width="10.7109375" style="2" customWidth="1"/>
    <col min="8455" max="8455" width="27.140625" style="2" customWidth="1"/>
    <col min="8456" max="8456" width="23.7109375" style="2" customWidth="1"/>
    <col min="8457" max="8704" width="9.140625" style="2"/>
    <col min="8705" max="8705" width="15.7109375" style="2" customWidth="1"/>
    <col min="8706" max="8706" width="17.140625" style="2" customWidth="1"/>
    <col min="8707" max="8707" width="11.85546875" style="2" customWidth="1"/>
    <col min="8708" max="8708" width="11" style="2" customWidth="1"/>
    <col min="8709" max="8709" width="24.7109375" style="2" customWidth="1"/>
    <col min="8710" max="8710" width="10.7109375" style="2" customWidth="1"/>
    <col min="8711" max="8711" width="27.140625" style="2" customWidth="1"/>
    <col min="8712" max="8712" width="23.7109375" style="2" customWidth="1"/>
    <col min="8713" max="8960" width="9.140625" style="2"/>
    <col min="8961" max="8961" width="15.7109375" style="2" customWidth="1"/>
    <col min="8962" max="8962" width="17.140625" style="2" customWidth="1"/>
    <col min="8963" max="8963" width="11.85546875" style="2" customWidth="1"/>
    <col min="8964" max="8964" width="11" style="2" customWidth="1"/>
    <col min="8965" max="8965" width="24.7109375" style="2" customWidth="1"/>
    <col min="8966" max="8966" width="10.7109375" style="2" customWidth="1"/>
    <col min="8967" max="8967" width="27.140625" style="2" customWidth="1"/>
    <col min="8968" max="8968" width="23.7109375" style="2" customWidth="1"/>
    <col min="8969" max="9216" width="9.140625" style="2"/>
    <col min="9217" max="9217" width="15.7109375" style="2" customWidth="1"/>
    <col min="9218" max="9218" width="17.140625" style="2" customWidth="1"/>
    <col min="9219" max="9219" width="11.85546875" style="2" customWidth="1"/>
    <col min="9220" max="9220" width="11" style="2" customWidth="1"/>
    <col min="9221" max="9221" width="24.7109375" style="2" customWidth="1"/>
    <col min="9222" max="9222" width="10.7109375" style="2" customWidth="1"/>
    <col min="9223" max="9223" width="27.140625" style="2" customWidth="1"/>
    <col min="9224" max="9224" width="23.7109375" style="2" customWidth="1"/>
    <col min="9225" max="9472" width="9.140625" style="2"/>
    <col min="9473" max="9473" width="15.7109375" style="2" customWidth="1"/>
    <col min="9474" max="9474" width="17.140625" style="2" customWidth="1"/>
    <col min="9475" max="9475" width="11.85546875" style="2" customWidth="1"/>
    <col min="9476" max="9476" width="11" style="2" customWidth="1"/>
    <col min="9477" max="9477" width="24.7109375" style="2" customWidth="1"/>
    <col min="9478" max="9478" width="10.7109375" style="2" customWidth="1"/>
    <col min="9479" max="9479" width="27.140625" style="2" customWidth="1"/>
    <col min="9480" max="9480" width="23.7109375" style="2" customWidth="1"/>
    <col min="9481" max="9728" width="9.140625" style="2"/>
    <col min="9729" max="9729" width="15.7109375" style="2" customWidth="1"/>
    <col min="9730" max="9730" width="17.140625" style="2" customWidth="1"/>
    <col min="9731" max="9731" width="11.85546875" style="2" customWidth="1"/>
    <col min="9732" max="9732" width="11" style="2" customWidth="1"/>
    <col min="9733" max="9733" width="24.7109375" style="2" customWidth="1"/>
    <col min="9734" max="9734" width="10.7109375" style="2" customWidth="1"/>
    <col min="9735" max="9735" width="27.140625" style="2" customWidth="1"/>
    <col min="9736" max="9736" width="23.7109375" style="2" customWidth="1"/>
    <col min="9737" max="9984" width="9.140625" style="2"/>
    <col min="9985" max="9985" width="15.7109375" style="2" customWidth="1"/>
    <col min="9986" max="9986" width="17.140625" style="2" customWidth="1"/>
    <col min="9987" max="9987" width="11.85546875" style="2" customWidth="1"/>
    <col min="9988" max="9988" width="11" style="2" customWidth="1"/>
    <col min="9989" max="9989" width="24.7109375" style="2" customWidth="1"/>
    <col min="9990" max="9990" width="10.7109375" style="2" customWidth="1"/>
    <col min="9991" max="9991" width="27.140625" style="2" customWidth="1"/>
    <col min="9992" max="9992" width="23.7109375" style="2" customWidth="1"/>
    <col min="9993" max="10240" width="9.140625" style="2"/>
    <col min="10241" max="10241" width="15.7109375" style="2" customWidth="1"/>
    <col min="10242" max="10242" width="17.140625" style="2" customWidth="1"/>
    <col min="10243" max="10243" width="11.85546875" style="2" customWidth="1"/>
    <col min="10244" max="10244" width="11" style="2" customWidth="1"/>
    <col min="10245" max="10245" width="24.7109375" style="2" customWidth="1"/>
    <col min="10246" max="10246" width="10.7109375" style="2" customWidth="1"/>
    <col min="10247" max="10247" width="27.140625" style="2" customWidth="1"/>
    <col min="10248" max="10248" width="23.7109375" style="2" customWidth="1"/>
    <col min="10249" max="10496" width="9.140625" style="2"/>
    <col min="10497" max="10497" width="15.7109375" style="2" customWidth="1"/>
    <col min="10498" max="10498" width="17.140625" style="2" customWidth="1"/>
    <col min="10499" max="10499" width="11.85546875" style="2" customWidth="1"/>
    <col min="10500" max="10500" width="11" style="2" customWidth="1"/>
    <col min="10501" max="10501" width="24.7109375" style="2" customWidth="1"/>
    <col min="10502" max="10502" width="10.7109375" style="2" customWidth="1"/>
    <col min="10503" max="10503" width="27.140625" style="2" customWidth="1"/>
    <col min="10504" max="10504" width="23.7109375" style="2" customWidth="1"/>
    <col min="10505" max="10752" width="9.140625" style="2"/>
    <col min="10753" max="10753" width="15.7109375" style="2" customWidth="1"/>
    <col min="10754" max="10754" width="17.140625" style="2" customWidth="1"/>
    <col min="10755" max="10755" width="11.85546875" style="2" customWidth="1"/>
    <col min="10756" max="10756" width="11" style="2" customWidth="1"/>
    <col min="10757" max="10757" width="24.7109375" style="2" customWidth="1"/>
    <col min="10758" max="10758" width="10.7109375" style="2" customWidth="1"/>
    <col min="10759" max="10759" width="27.140625" style="2" customWidth="1"/>
    <col min="10760" max="10760" width="23.7109375" style="2" customWidth="1"/>
    <col min="10761" max="11008" width="9.140625" style="2"/>
    <col min="11009" max="11009" width="15.7109375" style="2" customWidth="1"/>
    <col min="11010" max="11010" width="17.140625" style="2" customWidth="1"/>
    <col min="11011" max="11011" width="11.85546875" style="2" customWidth="1"/>
    <col min="11012" max="11012" width="11" style="2" customWidth="1"/>
    <col min="11013" max="11013" width="24.7109375" style="2" customWidth="1"/>
    <col min="11014" max="11014" width="10.7109375" style="2" customWidth="1"/>
    <col min="11015" max="11015" width="27.140625" style="2" customWidth="1"/>
    <col min="11016" max="11016" width="23.7109375" style="2" customWidth="1"/>
    <col min="11017" max="11264" width="9.140625" style="2"/>
    <col min="11265" max="11265" width="15.7109375" style="2" customWidth="1"/>
    <col min="11266" max="11266" width="17.140625" style="2" customWidth="1"/>
    <col min="11267" max="11267" width="11.85546875" style="2" customWidth="1"/>
    <col min="11268" max="11268" width="11" style="2" customWidth="1"/>
    <col min="11269" max="11269" width="24.7109375" style="2" customWidth="1"/>
    <col min="11270" max="11270" width="10.7109375" style="2" customWidth="1"/>
    <col min="11271" max="11271" width="27.140625" style="2" customWidth="1"/>
    <col min="11272" max="11272" width="23.7109375" style="2" customWidth="1"/>
    <col min="11273" max="11520" width="9.140625" style="2"/>
    <col min="11521" max="11521" width="15.7109375" style="2" customWidth="1"/>
    <col min="11522" max="11522" width="17.140625" style="2" customWidth="1"/>
    <col min="11523" max="11523" width="11.85546875" style="2" customWidth="1"/>
    <col min="11524" max="11524" width="11" style="2" customWidth="1"/>
    <col min="11525" max="11525" width="24.7109375" style="2" customWidth="1"/>
    <col min="11526" max="11526" width="10.7109375" style="2" customWidth="1"/>
    <col min="11527" max="11527" width="27.140625" style="2" customWidth="1"/>
    <col min="11528" max="11528" width="23.7109375" style="2" customWidth="1"/>
    <col min="11529" max="11776" width="9.140625" style="2"/>
    <col min="11777" max="11777" width="15.7109375" style="2" customWidth="1"/>
    <col min="11778" max="11778" width="17.140625" style="2" customWidth="1"/>
    <col min="11779" max="11779" width="11.85546875" style="2" customWidth="1"/>
    <col min="11780" max="11780" width="11" style="2" customWidth="1"/>
    <col min="11781" max="11781" width="24.7109375" style="2" customWidth="1"/>
    <col min="11782" max="11782" width="10.7109375" style="2" customWidth="1"/>
    <col min="11783" max="11783" width="27.140625" style="2" customWidth="1"/>
    <col min="11784" max="11784" width="23.7109375" style="2" customWidth="1"/>
    <col min="11785" max="12032" width="9.140625" style="2"/>
    <col min="12033" max="12033" width="15.7109375" style="2" customWidth="1"/>
    <col min="12034" max="12034" width="17.140625" style="2" customWidth="1"/>
    <col min="12035" max="12035" width="11.85546875" style="2" customWidth="1"/>
    <col min="12036" max="12036" width="11" style="2" customWidth="1"/>
    <col min="12037" max="12037" width="24.7109375" style="2" customWidth="1"/>
    <col min="12038" max="12038" width="10.7109375" style="2" customWidth="1"/>
    <col min="12039" max="12039" width="27.140625" style="2" customWidth="1"/>
    <col min="12040" max="12040" width="23.7109375" style="2" customWidth="1"/>
    <col min="12041" max="12288" width="9.140625" style="2"/>
    <col min="12289" max="12289" width="15.7109375" style="2" customWidth="1"/>
    <col min="12290" max="12290" width="17.140625" style="2" customWidth="1"/>
    <col min="12291" max="12291" width="11.85546875" style="2" customWidth="1"/>
    <col min="12292" max="12292" width="11" style="2" customWidth="1"/>
    <col min="12293" max="12293" width="24.7109375" style="2" customWidth="1"/>
    <col min="12294" max="12294" width="10.7109375" style="2" customWidth="1"/>
    <col min="12295" max="12295" width="27.140625" style="2" customWidth="1"/>
    <col min="12296" max="12296" width="23.7109375" style="2" customWidth="1"/>
    <col min="12297" max="12544" width="9.140625" style="2"/>
    <col min="12545" max="12545" width="15.7109375" style="2" customWidth="1"/>
    <col min="12546" max="12546" width="17.140625" style="2" customWidth="1"/>
    <col min="12547" max="12547" width="11.85546875" style="2" customWidth="1"/>
    <col min="12548" max="12548" width="11" style="2" customWidth="1"/>
    <col min="12549" max="12549" width="24.7109375" style="2" customWidth="1"/>
    <col min="12550" max="12550" width="10.7109375" style="2" customWidth="1"/>
    <col min="12551" max="12551" width="27.140625" style="2" customWidth="1"/>
    <col min="12552" max="12552" width="23.7109375" style="2" customWidth="1"/>
    <col min="12553" max="12800" width="9.140625" style="2"/>
    <col min="12801" max="12801" width="15.7109375" style="2" customWidth="1"/>
    <col min="12802" max="12802" width="17.140625" style="2" customWidth="1"/>
    <col min="12803" max="12803" width="11.85546875" style="2" customWidth="1"/>
    <col min="12804" max="12804" width="11" style="2" customWidth="1"/>
    <col min="12805" max="12805" width="24.7109375" style="2" customWidth="1"/>
    <col min="12806" max="12806" width="10.7109375" style="2" customWidth="1"/>
    <col min="12807" max="12807" width="27.140625" style="2" customWidth="1"/>
    <col min="12808" max="12808" width="23.7109375" style="2" customWidth="1"/>
    <col min="12809" max="13056" width="9.140625" style="2"/>
    <col min="13057" max="13057" width="15.7109375" style="2" customWidth="1"/>
    <col min="13058" max="13058" width="17.140625" style="2" customWidth="1"/>
    <col min="13059" max="13059" width="11.85546875" style="2" customWidth="1"/>
    <col min="13060" max="13060" width="11" style="2" customWidth="1"/>
    <col min="13061" max="13061" width="24.7109375" style="2" customWidth="1"/>
    <col min="13062" max="13062" width="10.7109375" style="2" customWidth="1"/>
    <col min="13063" max="13063" width="27.140625" style="2" customWidth="1"/>
    <col min="13064" max="13064" width="23.7109375" style="2" customWidth="1"/>
    <col min="13065" max="13312" width="9.140625" style="2"/>
    <col min="13313" max="13313" width="15.7109375" style="2" customWidth="1"/>
    <col min="13314" max="13314" width="17.140625" style="2" customWidth="1"/>
    <col min="13315" max="13315" width="11.85546875" style="2" customWidth="1"/>
    <col min="13316" max="13316" width="11" style="2" customWidth="1"/>
    <col min="13317" max="13317" width="24.7109375" style="2" customWidth="1"/>
    <col min="13318" max="13318" width="10.7109375" style="2" customWidth="1"/>
    <col min="13319" max="13319" width="27.140625" style="2" customWidth="1"/>
    <col min="13320" max="13320" width="23.7109375" style="2" customWidth="1"/>
    <col min="13321" max="13568" width="9.140625" style="2"/>
    <col min="13569" max="13569" width="15.7109375" style="2" customWidth="1"/>
    <col min="13570" max="13570" width="17.140625" style="2" customWidth="1"/>
    <col min="13571" max="13571" width="11.85546875" style="2" customWidth="1"/>
    <col min="13572" max="13572" width="11" style="2" customWidth="1"/>
    <col min="13573" max="13573" width="24.7109375" style="2" customWidth="1"/>
    <col min="13574" max="13574" width="10.7109375" style="2" customWidth="1"/>
    <col min="13575" max="13575" width="27.140625" style="2" customWidth="1"/>
    <col min="13576" max="13576" width="23.7109375" style="2" customWidth="1"/>
    <col min="13577" max="13824" width="9.140625" style="2"/>
    <col min="13825" max="13825" width="15.7109375" style="2" customWidth="1"/>
    <col min="13826" max="13826" width="17.140625" style="2" customWidth="1"/>
    <col min="13827" max="13827" width="11.85546875" style="2" customWidth="1"/>
    <col min="13828" max="13828" width="11" style="2" customWidth="1"/>
    <col min="13829" max="13829" width="24.7109375" style="2" customWidth="1"/>
    <col min="13830" max="13830" width="10.7109375" style="2" customWidth="1"/>
    <col min="13831" max="13831" width="27.140625" style="2" customWidth="1"/>
    <col min="13832" max="13832" width="23.7109375" style="2" customWidth="1"/>
    <col min="13833" max="14080" width="9.140625" style="2"/>
    <col min="14081" max="14081" width="15.7109375" style="2" customWidth="1"/>
    <col min="14082" max="14082" width="17.140625" style="2" customWidth="1"/>
    <col min="14083" max="14083" width="11.85546875" style="2" customWidth="1"/>
    <col min="14084" max="14084" width="11" style="2" customWidth="1"/>
    <col min="14085" max="14085" width="24.7109375" style="2" customWidth="1"/>
    <col min="14086" max="14086" width="10.7109375" style="2" customWidth="1"/>
    <col min="14087" max="14087" width="27.140625" style="2" customWidth="1"/>
    <col min="14088" max="14088" width="23.7109375" style="2" customWidth="1"/>
    <col min="14089" max="14336" width="9.140625" style="2"/>
    <col min="14337" max="14337" width="15.7109375" style="2" customWidth="1"/>
    <col min="14338" max="14338" width="17.140625" style="2" customWidth="1"/>
    <col min="14339" max="14339" width="11.85546875" style="2" customWidth="1"/>
    <col min="14340" max="14340" width="11" style="2" customWidth="1"/>
    <col min="14341" max="14341" width="24.7109375" style="2" customWidth="1"/>
    <col min="14342" max="14342" width="10.7109375" style="2" customWidth="1"/>
    <col min="14343" max="14343" width="27.140625" style="2" customWidth="1"/>
    <col min="14344" max="14344" width="23.7109375" style="2" customWidth="1"/>
    <col min="14345" max="14592" width="9.140625" style="2"/>
    <col min="14593" max="14593" width="15.7109375" style="2" customWidth="1"/>
    <col min="14594" max="14594" width="17.140625" style="2" customWidth="1"/>
    <col min="14595" max="14595" width="11.85546875" style="2" customWidth="1"/>
    <col min="14596" max="14596" width="11" style="2" customWidth="1"/>
    <col min="14597" max="14597" width="24.7109375" style="2" customWidth="1"/>
    <col min="14598" max="14598" width="10.7109375" style="2" customWidth="1"/>
    <col min="14599" max="14599" width="27.140625" style="2" customWidth="1"/>
    <col min="14600" max="14600" width="23.7109375" style="2" customWidth="1"/>
    <col min="14601" max="14848" width="9.140625" style="2"/>
    <col min="14849" max="14849" width="15.7109375" style="2" customWidth="1"/>
    <col min="14850" max="14850" width="17.140625" style="2" customWidth="1"/>
    <col min="14851" max="14851" width="11.85546875" style="2" customWidth="1"/>
    <col min="14852" max="14852" width="11" style="2" customWidth="1"/>
    <col min="14853" max="14853" width="24.7109375" style="2" customWidth="1"/>
    <col min="14854" max="14854" width="10.7109375" style="2" customWidth="1"/>
    <col min="14855" max="14855" width="27.140625" style="2" customWidth="1"/>
    <col min="14856" max="14856" width="23.7109375" style="2" customWidth="1"/>
    <col min="14857" max="15104" width="9.140625" style="2"/>
    <col min="15105" max="15105" width="15.7109375" style="2" customWidth="1"/>
    <col min="15106" max="15106" width="17.140625" style="2" customWidth="1"/>
    <col min="15107" max="15107" width="11.85546875" style="2" customWidth="1"/>
    <col min="15108" max="15108" width="11" style="2" customWidth="1"/>
    <col min="15109" max="15109" width="24.7109375" style="2" customWidth="1"/>
    <col min="15110" max="15110" width="10.7109375" style="2" customWidth="1"/>
    <col min="15111" max="15111" width="27.140625" style="2" customWidth="1"/>
    <col min="15112" max="15112" width="23.7109375" style="2" customWidth="1"/>
    <col min="15113" max="15360" width="9.140625" style="2"/>
    <col min="15361" max="15361" width="15.7109375" style="2" customWidth="1"/>
    <col min="15362" max="15362" width="17.140625" style="2" customWidth="1"/>
    <col min="15363" max="15363" width="11.85546875" style="2" customWidth="1"/>
    <col min="15364" max="15364" width="11" style="2" customWidth="1"/>
    <col min="15365" max="15365" width="24.7109375" style="2" customWidth="1"/>
    <col min="15366" max="15366" width="10.7109375" style="2" customWidth="1"/>
    <col min="15367" max="15367" width="27.140625" style="2" customWidth="1"/>
    <col min="15368" max="15368" width="23.7109375" style="2" customWidth="1"/>
    <col min="15369" max="15616" width="9.140625" style="2"/>
    <col min="15617" max="15617" width="15.7109375" style="2" customWidth="1"/>
    <col min="15618" max="15618" width="17.140625" style="2" customWidth="1"/>
    <col min="15619" max="15619" width="11.85546875" style="2" customWidth="1"/>
    <col min="15620" max="15620" width="11" style="2" customWidth="1"/>
    <col min="15621" max="15621" width="24.7109375" style="2" customWidth="1"/>
    <col min="15622" max="15622" width="10.7109375" style="2" customWidth="1"/>
    <col min="15623" max="15623" width="27.140625" style="2" customWidth="1"/>
    <col min="15624" max="15624" width="23.7109375" style="2" customWidth="1"/>
    <col min="15625" max="15872" width="9.140625" style="2"/>
    <col min="15873" max="15873" width="15.7109375" style="2" customWidth="1"/>
    <col min="15874" max="15874" width="17.140625" style="2" customWidth="1"/>
    <col min="15875" max="15875" width="11.85546875" style="2" customWidth="1"/>
    <col min="15876" max="15876" width="11" style="2" customWidth="1"/>
    <col min="15877" max="15877" width="24.7109375" style="2" customWidth="1"/>
    <col min="15878" max="15878" width="10.7109375" style="2" customWidth="1"/>
    <col min="15879" max="15879" width="27.140625" style="2" customWidth="1"/>
    <col min="15880" max="15880" width="23.7109375" style="2" customWidth="1"/>
    <col min="15881" max="16128" width="9.140625" style="2"/>
    <col min="16129" max="16129" width="15.7109375" style="2" customWidth="1"/>
    <col min="16130" max="16130" width="17.140625" style="2" customWidth="1"/>
    <col min="16131" max="16131" width="11.85546875" style="2" customWidth="1"/>
    <col min="16132" max="16132" width="11" style="2" customWidth="1"/>
    <col min="16133" max="16133" width="24.7109375" style="2" customWidth="1"/>
    <col min="16134" max="16134" width="10.7109375" style="2" customWidth="1"/>
    <col min="16135" max="16135" width="27.140625" style="2" customWidth="1"/>
    <col min="16136" max="16136" width="23.7109375" style="2" customWidth="1"/>
    <col min="16137" max="16384" width="9.140625" style="2"/>
  </cols>
  <sheetData>
    <row r="1" spans="1:30" ht="164.25" customHeight="1"/>
    <row r="2" spans="1:30" ht="12.9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7" spans="1:30" ht="12.95" customHeight="1">
      <c r="A7" s="36" t="s">
        <v>105</v>
      </c>
      <c r="B7" s="37"/>
      <c r="C7" s="37"/>
      <c r="D7" s="37"/>
      <c r="E7" s="37"/>
      <c r="F7" s="37"/>
    </row>
    <row r="9" spans="1:30" ht="12.95" customHeight="1">
      <c r="A9" s="2" t="s">
        <v>106</v>
      </c>
      <c r="B9" s="5">
        <v>1E-3</v>
      </c>
      <c r="C9" s="6" t="s">
        <v>9</v>
      </c>
      <c r="D9" s="2" t="s">
        <v>163</v>
      </c>
      <c r="E9" s="9">
        <f>Irip/2</f>
        <v>7.4800000000000005E-2</v>
      </c>
      <c r="F9" s="6" t="s">
        <v>9</v>
      </c>
      <c r="G9" s="33"/>
      <c r="H9" s="33"/>
      <c r="I9" s="33"/>
    </row>
    <row r="10" spans="1:30" ht="12.95" customHeight="1">
      <c r="A10" s="2" t="s">
        <v>107</v>
      </c>
      <c r="B10" s="5">
        <f>+Iout</f>
        <v>1</v>
      </c>
      <c r="C10" s="6" t="s">
        <v>9</v>
      </c>
      <c r="D10" s="33"/>
      <c r="E10" s="33"/>
      <c r="F10" s="33"/>
      <c r="G10" s="33"/>
      <c r="H10" s="33"/>
      <c r="I10" s="10" t="str">
        <f>IF(B10&gt;6,"Over Limit of IC!"," ")</f>
        <v xml:space="preserve"> </v>
      </c>
    </row>
    <row r="11" spans="1:30" s="33" customFormat="1" ht="16.5" customHeight="1">
      <c r="A11" s="19"/>
      <c r="B11" s="19"/>
      <c r="C11" s="19"/>
      <c r="D11" s="19"/>
      <c r="E11" s="19"/>
      <c r="F11" s="19"/>
      <c r="G11" s="19"/>
      <c r="H11" s="19"/>
      <c r="I11" s="19"/>
      <c r="N11" s="19" t="s">
        <v>165</v>
      </c>
      <c r="O11" s="19"/>
      <c r="P11" s="19"/>
      <c r="Q11" s="19" t="s">
        <v>164</v>
      </c>
      <c r="R11" s="19"/>
      <c r="S11" s="19" t="s">
        <v>166</v>
      </c>
      <c r="T11" s="19"/>
      <c r="U11" s="19"/>
      <c r="V11" s="19" t="s">
        <v>171</v>
      </c>
      <c r="W11" s="19"/>
      <c r="X11" s="19"/>
    </row>
    <row r="12" spans="1:30" s="33" customFormat="1" ht="12.95" customHeight="1">
      <c r="A12" s="19" t="s">
        <v>8</v>
      </c>
      <c r="B12" s="19" t="s">
        <v>108</v>
      </c>
      <c r="C12" s="19" t="s">
        <v>40</v>
      </c>
      <c r="D12" s="19" t="s">
        <v>109</v>
      </c>
      <c r="E12" s="19" t="s">
        <v>110</v>
      </c>
      <c r="F12" s="19" t="s">
        <v>111</v>
      </c>
      <c r="G12" s="19" t="s">
        <v>112</v>
      </c>
      <c r="H12" s="19" t="s">
        <v>113</v>
      </c>
      <c r="I12" s="19"/>
      <c r="J12" s="19"/>
      <c r="K12" s="19"/>
      <c r="L12" s="19"/>
      <c r="M12" s="19"/>
      <c r="N12" s="19" t="s">
        <v>8</v>
      </c>
      <c r="O12" s="19" t="s">
        <v>40</v>
      </c>
      <c r="P12" s="19"/>
      <c r="Q12" s="19" t="s">
        <v>40</v>
      </c>
      <c r="R12" s="19"/>
      <c r="S12" s="19" t="s">
        <v>40</v>
      </c>
      <c r="T12" s="19"/>
      <c r="U12" s="19"/>
      <c r="V12" s="19" t="s">
        <v>167</v>
      </c>
      <c r="W12" s="19" t="s">
        <v>40</v>
      </c>
      <c r="X12" s="19"/>
      <c r="Y12" s="19"/>
      <c r="Z12" s="19"/>
      <c r="AA12" s="19"/>
      <c r="AB12" s="19"/>
      <c r="AC12" s="19"/>
      <c r="AD12" s="19"/>
    </row>
    <row r="13" spans="1:30" s="33" customFormat="1" ht="12.95" customHeight="1">
      <c r="A13" s="41">
        <f>Imin</f>
        <v>1E-3</v>
      </c>
      <c r="B13" s="64">
        <f t="shared" ref="B13:B24" si="0">SUM(D13:H13)</f>
        <v>3.0224533139209458E-2</v>
      </c>
      <c r="C13" s="65">
        <f>(Vout*A13)/((Vout*A13)+B13)*100</f>
        <v>9.8435375260763962</v>
      </c>
      <c r="D13" s="42">
        <f>F44^2*Ron_u/'Power Loss'!$B$54/1000+Vin*(A13-0.5*E44)*'Power Loss'!$B$52*10^(-9)*B44*10^(3)/2+Vin*(A13+0.5*E44)*'Power Loss'!$B$53*10^(-9)*Fs*10^(3)/2+Vin*B44*10^3*'Power Loss'!$B$48*10^(-9)*'Power Loss'!$B$54+0.5*'Power Loss'!$B$51*10^(-9)*Vin^2*B44*10^3*'Power Loss'!$B$54</f>
        <v>2.0239150586258189E-3</v>
      </c>
      <c r="E13" s="42">
        <f>G44^2*'Power Loss'!$B$63/1000/'Power Loss'!$B$71+'Power Loss'!$B$64*B44*10^(-6)*((A13+0.5*E44)*'Power Loss'!$B$69+(A13-0.5*E44)*'Power Loss'!$B$70)+0.5*'Power Loss'!$B$65*Vin* B44*10^(-6)*'Power Loss'!$B$71+'Power Loss'!$B$68*10^(-9)*'Power Loss'!$B$71*Vin^2*B44*1000/2</f>
        <v>2.50861729995791E-3</v>
      </c>
      <c r="F13" s="42">
        <f>B44*'Power Loss'!$B$79*'Power Loss'!$B$49*10^(-6)*'Power Loss'!$B$54+B44*'Power Loss'!$B$80*'Power Loss'!$B$66*10^(-6)*'Power Loss'!$B$71+'Power Loss'!$B$80*'Power Loss'!$B$81*0.001</f>
        <v>2.5504496402877698E-2</v>
      </c>
      <c r="G13" s="42">
        <f t="shared" ref="G13:G41" si="1">0.7*10^(-9)*(B44)^1.35*(57.8*0.5*E44)^2.263+DCR/1000*(A13*SQRT(1+1/3*(E44/A13)^2))^2</f>
        <v>1.8284154389406408E-4</v>
      </c>
      <c r="H13" s="42">
        <f>(0.5*E44/SQRT(3))^2*'Power Loss'!$B$33/'Power Loss'!$B$31/1000</f>
        <v>4.6628338539628049E-6</v>
      </c>
      <c r="I13" s="19"/>
      <c r="J13" s="19"/>
      <c r="K13" s="19"/>
      <c r="L13" s="19"/>
      <c r="M13" s="19"/>
      <c r="N13" s="41">
        <f>Imin</f>
        <v>1E-3</v>
      </c>
      <c r="O13" s="19">
        <v>6.6473323812045386</v>
      </c>
      <c r="P13" s="19"/>
      <c r="Q13" s="19">
        <v>6.8353234301107539</v>
      </c>
      <c r="R13" s="19"/>
      <c r="S13" s="19">
        <v>6.3189801937099679</v>
      </c>
      <c r="T13" s="19"/>
      <c r="U13" s="19"/>
      <c r="V13" s="45">
        <v>2.7029780000000002E-4</v>
      </c>
      <c r="W13" s="45">
        <v>0.66825254430000003</v>
      </c>
      <c r="X13" s="19"/>
      <c r="Y13" s="19"/>
      <c r="Z13" s="19"/>
      <c r="AA13" s="19"/>
      <c r="AB13" s="19"/>
      <c r="AC13" s="19"/>
      <c r="AD13" s="19"/>
    </row>
    <row r="14" spans="1:30" s="33" customFormat="1" ht="12.95" customHeight="1">
      <c r="A14" s="41">
        <f>Imin+(Imax-Imin)*0.001</f>
        <v>1.9989999999999999E-3</v>
      </c>
      <c r="B14" s="64">
        <f t="shared" si="0"/>
        <v>3.0279262393911269E-2</v>
      </c>
      <c r="C14" s="65">
        <f t="shared" ref="C14:C24" si="2">Vout*A14/(Vout*A14+B14)*100</f>
        <v>17.888889053344968</v>
      </c>
      <c r="D14" s="42">
        <f>F45^2*Ron_u/'Power Loss'!$B$54/1000+Vin*(A14-0.5*E45)*'Power Loss'!$B$52*10^(-9)*B45*10^(3)/2+Vin*(A14+0.5*E45)*'Power Loss'!$B$53*10^(-9)*Fs*10^(3)/2+Vin*B45*10^3*'Power Loss'!$B$48*10^(-9)*'Power Loss'!$B$54+0.5*'Power Loss'!$B$51*10^(-9)*Vin^2*B45*10^3*'Power Loss'!$B$54</f>
        <v>2.0450046026471748E-3</v>
      </c>
      <c r="E14" s="42">
        <f>G45^2*'Power Loss'!$B$63/1000/'Power Loss'!$B$71+'Power Loss'!$B$64*B45*10^(-6)*((A14+0.5*E45)*'Power Loss'!$B$69+(A14-0.5*E45)*'Power Loss'!$B$70)+0.5*'Power Loss'!$B$65*Vin* B45*10^(-6)*'Power Loss'!$B$71+'Power Loss'!$B$68*10^(-9)*'Power Loss'!$B$71*Vin^2*B45*1000/2</f>
        <v>2.5371993322059355E-3</v>
      </c>
      <c r="F14" s="42">
        <f>B45*'Power Loss'!$B$79*'Power Loss'!$B$49*10^(-6)*'Power Loss'!$B$54+B45*'Power Loss'!$B$80*'Power Loss'!$B$66*10^(-6)*'Power Loss'!$B$71+'Power Loss'!$B$80*'Power Loss'!$B$81*0.001</f>
        <v>2.5509069790655259E-2</v>
      </c>
      <c r="G14" s="42">
        <f t="shared" si="1"/>
        <v>1.8332553431352075E-4</v>
      </c>
      <c r="H14" s="42">
        <f>(0.5*E45/SQRT(3))^2*'Power Loss'!$B$33/'Power Loss'!$B$31/1000</f>
        <v>4.6631340893774359E-6</v>
      </c>
      <c r="I14" s="19"/>
      <c r="J14" s="19"/>
      <c r="K14" s="19"/>
      <c r="L14" s="19"/>
      <c r="M14" s="19"/>
      <c r="N14" s="41">
        <f>Imin+(Imax-Imin)*0.001</f>
        <v>1.9989999999999999E-3</v>
      </c>
      <c r="O14" s="19">
        <v>22.12263260159013</v>
      </c>
      <c r="P14" s="19"/>
      <c r="Q14" s="19">
        <v>22.639056059958982</v>
      </c>
      <c r="R14" s="19"/>
      <c r="S14" s="19">
        <v>21.201769592813193</v>
      </c>
      <c r="T14" s="19"/>
      <c r="U14" s="19"/>
      <c r="V14" s="45">
        <v>2.4985509999999998E-4</v>
      </c>
      <c r="W14" s="45">
        <v>0.61917009270000001</v>
      </c>
      <c r="X14" s="19"/>
      <c r="Y14" s="19"/>
      <c r="Z14" s="19"/>
      <c r="AA14" s="19"/>
      <c r="AB14" s="19"/>
      <c r="AC14" s="19"/>
      <c r="AD14" s="19"/>
    </row>
    <row r="15" spans="1:30" s="33" customFormat="1" ht="12.95" customHeight="1">
      <c r="A15" s="41">
        <f>Imin+(Imax-Imin)*0.002</f>
        <v>2.9980000000000002E-3</v>
      </c>
      <c r="B15" s="64">
        <f t="shared" si="0"/>
        <v>3.0335097330122917E-2</v>
      </c>
      <c r="C15" s="65">
        <f t="shared" si="2"/>
        <v>24.593014048754604</v>
      </c>
      <c r="D15" s="42">
        <f>F46^2*Ron_u/'Power Loss'!$B$54/1000+Vin*(A15-0.5*E46)*'Power Loss'!$B$52*10^(-9)*B46*10^(3)/2+Vin*(A15+0.5*E46)*'Power Loss'!$B$53*10^(-9)*Fs*10^(3)/2+Vin*B46*10^3*'Power Loss'!$B$48*10^(-9)*'Power Loss'!$B$54+0.5*'Power Loss'!$B$51*10^(-9)*Vin^2*B46*10^3*'Power Loss'!$B$54</f>
        <v>2.0665078289275537E-3</v>
      </c>
      <c r="E15" s="42">
        <f>G46^2*'Power Loss'!$B$63/1000/'Power Loss'!$B$71+'Power Loss'!$B$64*B46*10^(-6)*((A15+0.5*E46)*'Power Loss'!$B$69+(A15-0.5*E46)*'Power Loss'!$B$70)+0.5*'Power Loss'!$B$65*Vin* B46*10^(-6)*'Power Loss'!$B$71+'Power Loss'!$B$68*10^(-9)*'Power Loss'!$B$71*Vin^2*B46*1000/2</f>
        <v>2.5663408342403429E-3</v>
      </c>
      <c r="F15" s="42">
        <f>B46*'Power Loss'!$B$79*'Power Loss'!$B$49*10^(-6)*'Power Loss'!$B$54+B46*'Power Loss'!$B$80*'Power Loss'!$B$66*10^(-6)*'Power Loss'!$B$71+'Power Loss'!$B$80*'Power Loss'!$B$81*0.001</f>
        <v>2.5513726854819511E-2</v>
      </c>
      <c r="G15" s="42">
        <f t="shared" si="1"/>
        <v>1.8385837779541825E-4</v>
      </c>
      <c r="H15" s="42">
        <f>(0.5*E46/SQRT(3))^2*'Power Loss'!$B$33/'Power Loss'!$B$31/1000</f>
        <v>4.6634343400909126E-6</v>
      </c>
      <c r="I15" s="19"/>
      <c r="J15" s="19"/>
      <c r="K15" s="19"/>
      <c r="L15" s="19"/>
      <c r="M15" s="19"/>
      <c r="N15" s="41">
        <f>Imin+(Imax-Imin)*0.002</f>
        <v>2.9980000000000002E-3</v>
      </c>
      <c r="O15" s="19">
        <v>33.150503281078343</v>
      </c>
      <c r="P15" s="19"/>
      <c r="Q15" s="19">
        <v>33.808614638628505</v>
      </c>
      <c r="R15" s="19"/>
      <c r="S15" s="19">
        <v>31.956797221894895</v>
      </c>
      <c r="T15" s="19"/>
      <c r="U15" s="19"/>
      <c r="V15" s="45">
        <v>1.3093029999999999E-3</v>
      </c>
      <c r="W15" s="45">
        <v>3.1660031472000001</v>
      </c>
      <c r="X15" s="19"/>
      <c r="Y15" s="19"/>
      <c r="Z15" s="19"/>
      <c r="AA15" s="19"/>
      <c r="AB15" s="19"/>
      <c r="AC15" s="19"/>
      <c r="AD15" s="19"/>
    </row>
    <row r="16" spans="1:30" s="33" customFormat="1" ht="12.95" customHeight="1">
      <c r="A16" s="41">
        <f>Imin+(Imax-Imin)*0.004</f>
        <v>4.9960000000000004E-3</v>
      </c>
      <c r="B16" s="64">
        <f t="shared" si="0"/>
        <v>3.0450184294265759E-2</v>
      </c>
      <c r="C16" s="65">
        <f t="shared" si="2"/>
        <v>35.125392583038561</v>
      </c>
      <c r="D16" s="42">
        <f>F47^2*Ron_u/'Power Loss'!$B$54/1000+Vin*(A16-0.5*E47)*'Power Loss'!$B$52*10^(-9)*B47*10^(3)/2+Vin*(A16+0.5*E47)*'Power Loss'!$B$53*10^(-9)*Fs*10^(3)/2+Vin*B47*10^3*'Power Loss'!$B$48*10^(-9)*'Power Loss'!$B$54+0.5*'Power Loss'!$B$51*10^(-9)*Vin^2*B47*10^3*'Power Loss'!$B$54</f>
        <v>2.1107865653892449E-3</v>
      </c>
      <c r="E16" s="42">
        <f>G47^2*'Power Loss'!$B$63/1000/'Power Loss'!$B$71+'Power Loss'!$B$64*B47*10^(-6)*((A16+0.5*E47)*'Power Loss'!$B$69+(A16-0.5*E47)*'Power Loss'!$B$70)+0.5*'Power Loss'!$B$65*Vin* B47*10^(-6)*'Power Loss'!$B$71+'Power Loss'!$B$68*10^(-9)*'Power Loss'!$B$71*Vin^2*B47*1000/2</f>
        <v>2.6263605821611447E-3</v>
      </c>
      <c r="F16" s="42">
        <f>B47*'Power Loss'!$B$79*'Power Loss'!$B$49*10^(-6)*'Power Loss'!$B$54+B47*'Power Loss'!$B$80*'Power Loss'!$B$66*10^(-6)*'Power Loss'!$B$71+'Power Loss'!$B$80*'Power Loss'!$B$81*0.001</f>
        <v>2.5523301369351891E-2</v>
      </c>
      <c r="G16" s="42">
        <f t="shared" si="1"/>
        <v>1.8507174247606124E-4</v>
      </c>
      <c r="H16" s="42">
        <f>(0.5*E47/SQRT(3))^2*'Power Loss'!$B$33/'Power Loss'!$B$31/1000</f>
        <v>4.6640348874171991E-6</v>
      </c>
      <c r="I16" s="19"/>
      <c r="J16" s="19"/>
      <c r="K16" s="19"/>
      <c r="L16" s="19"/>
      <c r="M16" s="19"/>
      <c r="N16" s="41">
        <f>Imin+(Imax-Imin)*0.004</f>
        <v>4.9960000000000004E-3</v>
      </c>
      <c r="O16" s="19">
        <v>47.818932384084285</v>
      </c>
      <c r="P16" s="19"/>
      <c r="Q16" s="19">
        <v>48.547689428878229</v>
      </c>
      <c r="R16" s="19"/>
      <c r="S16" s="19">
        <v>46.459340631648836</v>
      </c>
      <c r="T16" s="19"/>
      <c r="U16" s="19"/>
      <c r="V16" s="45">
        <v>2.3674500000000001E-3</v>
      </c>
      <c r="W16" s="45">
        <v>5.5851444350000001</v>
      </c>
      <c r="X16" s="19"/>
      <c r="Y16" s="19"/>
      <c r="Z16" s="19"/>
      <c r="AA16" s="19"/>
      <c r="AB16" s="19"/>
      <c r="AC16" s="19"/>
      <c r="AD16" s="19"/>
    </row>
    <row r="17" spans="1:30" s="33" customFormat="1" ht="12.95" customHeight="1">
      <c r="A17" s="41">
        <f>Imin+(Imax-Imin)*0.006</f>
        <v>6.9940000000000002E-3</v>
      </c>
      <c r="B17" s="64">
        <f t="shared" si="0"/>
        <v>3.057000363352811E-2</v>
      </c>
      <c r="C17" s="65">
        <f t="shared" si="2"/>
        <v>43.01978079646333</v>
      </c>
      <c r="D17" s="42">
        <f>F48^2*Ron_u/'Power Loss'!$B$54/1000+Vin*(A17-0.5*E48)*'Power Loss'!$B$52*10^(-9)*B48*10^(3)/2+Vin*(A17+0.5*E48)*'Power Loss'!$B$53*10^(-9)*Fs*10^(3)/2+Vin*B48*10^3*'Power Loss'!$B$48*10^(-9)*'Power Loss'!$B$54+0.5*'Power Loss'!$B$51*10^(-9)*Vin^2*B48*10^3*'Power Loss'!$B$54</f>
        <v>2.1568167034885198E-3</v>
      </c>
      <c r="E17" s="42">
        <f>G48^2*'Power Loss'!$B$63/1000/'Power Loss'!$B$71+'Power Loss'!$B$64*B48*10^(-6)*((A17+0.5*E48)*'Power Loss'!$B$69+(A17-0.5*E48)*'Power Loss'!$B$70)+0.5*'Power Loss'!$B$65*Vin* B48*10^(-6)*'Power Loss'!$B$71+'Power Loss'!$B$68*10^(-9)*'Power Loss'!$B$71*Vin^2*B48*1000/2</f>
        <v>2.6887987546218711E-3</v>
      </c>
      <c r="F17" s="42">
        <f>B48*'Power Loss'!$B$79*'Power Loss'!$B$49*10^(-6)*'Power Loss'!$B$54+B48*'Power Loss'!$B$80*'Power Loss'!$B$66*10^(-6)*'Power Loss'!$B$71+'Power Loss'!$B$80*'Power Loss'!$B$81*0.001</f>
        <v>2.5533239549075149E-2</v>
      </c>
      <c r="G17" s="42">
        <f t="shared" si="1"/>
        <v>1.8648399084661985E-4</v>
      </c>
      <c r="H17" s="42">
        <f>(0.5*E48/SQRT(3))^2*'Power Loss'!$B$33/'Power Loss'!$B$31/1000</f>
        <v>4.6646354959472758E-6</v>
      </c>
      <c r="I17" s="19"/>
      <c r="J17" s="19"/>
      <c r="K17" s="19"/>
      <c r="L17" s="19"/>
      <c r="M17" s="19"/>
      <c r="N17" s="41">
        <f>Imin+(Imax-Imin)*0.006</f>
        <v>6.9940000000000002E-3</v>
      </c>
      <c r="O17" s="19">
        <v>57.13022597126367</v>
      </c>
      <c r="P17" s="19"/>
      <c r="Q17" s="19">
        <v>57.83453206027832</v>
      </c>
      <c r="R17" s="19"/>
      <c r="S17" s="19">
        <v>55.784390817786679</v>
      </c>
      <c r="T17" s="19"/>
      <c r="U17" s="19"/>
      <c r="V17" s="45">
        <v>3.4470804000000001E-3</v>
      </c>
      <c r="W17" s="45">
        <v>7.9420608148999996</v>
      </c>
      <c r="X17" s="19"/>
      <c r="Y17" s="19"/>
      <c r="Z17" s="19"/>
      <c r="AA17" s="19"/>
      <c r="AB17" s="19"/>
      <c r="AC17" s="19"/>
      <c r="AD17" s="19"/>
    </row>
    <row r="18" spans="1:30" s="33" customFormat="1" ht="12.95" customHeight="1">
      <c r="A18" s="41">
        <f>Imin+(Imax-Imin)*0.008</f>
        <v>8.992E-3</v>
      </c>
      <c r="B18" s="64">
        <f t="shared" si="0"/>
        <v>3.0694781193448296E-2</v>
      </c>
      <c r="C18" s="65">
        <f t="shared" si="2"/>
        <v>49.15420856642158</v>
      </c>
      <c r="D18" s="42">
        <f>F49^2*Ron_u/'Power Loss'!$B$54/1000+Vin*(A18-0.5*E49)*'Power Loss'!$B$52*10^(-9)*B49*10^(3)/2+Vin*(A18+0.5*E49)*'Power Loss'!$B$53*10^(-9)*Fs*10^(3)/2+Vin*B49*10^3*'Power Loss'!$B$48*10^(-9)*'Power Loss'!$B$54+0.5*'Power Loss'!$B$51*10^(-9)*Vin^2*B49*10^3*'Power Loss'!$B$54</f>
        <v>2.204668737697848E-3</v>
      </c>
      <c r="E18" s="42">
        <f>G49^2*'Power Loss'!$B$63/1000/'Power Loss'!$B$71+'Power Loss'!$B$64*B49*10^(-6)*((A18+0.5*E49)*'Power Loss'!$B$69+(A18-0.5*E49)*'Power Loss'!$B$70)+0.5*'Power Loss'!$B$65*Vin* B49*10^(-6)*'Power Loss'!$B$71+'Power Loss'!$B$68*10^(-9)*'Power Loss'!$B$71*Vin^2*B49*1000/2</f>
        <v>2.7537870303899555E-3</v>
      </c>
      <c r="F18" s="42">
        <f>B49*'Power Loss'!$B$79*'Power Loss'!$B$49*10^(-6)*'Power Loss'!$B$54+B49*'Power Loss'!$B$80*'Power Loss'!$B$66*10^(-6)*'Power Loss'!$B$71+'Power Loss'!$B$80*'Power Loss'!$B$81*0.001</f>
        <v>2.5543562514533758E-2</v>
      </c>
      <c r="G18" s="42">
        <f t="shared" si="1"/>
        <v>1.8809767466104635E-4</v>
      </c>
      <c r="H18" s="42">
        <f>(0.5*E49/SQRT(3))^2*'Power Loss'!$B$33/'Power Loss'!$B$31/1000</f>
        <v>4.6652361656867705E-6</v>
      </c>
      <c r="I18" s="19"/>
      <c r="J18" s="19"/>
      <c r="K18" s="19"/>
      <c r="L18" s="19"/>
      <c r="M18" s="19"/>
      <c r="N18" s="41">
        <f>Imin+(Imax-Imin)*0.008</f>
        <v>8.992E-3</v>
      </c>
      <c r="O18" s="19">
        <v>63.564105965162319</v>
      </c>
      <c r="P18" s="19"/>
      <c r="Q18" s="19">
        <v>64.220143461940424</v>
      </c>
      <c r="R18" s="19"/>
      <c r="S18" s="19">
        <v>62.282801935226949</v>
      </c>
      <c r="T18" s="19"/>
      <c r="U18" s="19"/>
      <c r="V18" s="45">
        <v>4.4587385999999996E-3</v>
      </c>
      <c r="W18" s="45">
        <v>10.037667497599999</v>
      </c>
      <c r="X18" s="19"/>
      <c r="Y18" s="19"/>
      <c r="Z18" s="19"/>
      <c r="AA18" s="19"/>
      <c r="AB18" s="19"/>
      <c r="AC18" s="19"/>
      <c r="AD18" s="19"/>
    </row>
    <row r="19" spans="1:30" s="33" customFormat="1" ht="12.95" customHeight="1">
      <c r="A19" s="41">
        <f>Imin+(Imax-Imin)*0.01</f>
        <v>1.099E-2</v>
      </c>
      <c r="B19" s="64">
        <f t="shared" si="0"/>
        <v>3.0824760668000377E-2</v>
      </c>
      <c r="C19" s="65">
        <f t="shared" si="2"/>
        <v>54.05581794084241</v>
      </c>
      <c r="D19" s="42">
        <f>F50^2*Ron_u/'Power Loss'!$B$54/1000+Vin*(A19-0.5*E50)*'Power Loss'!$B$52*10^(-9)*B50*10^(3)/2+Vin*(A19+0.5*E50)*'Power Loss'!$B$53*10^(-9)*Fs*10^(3)/2+Vin*B50*10^3*'Power Loss'!$B$48*10^(-9)*'Power Loss'!$B$54+0.5*'Power Loss'!$B$51*10^(-9)*Vin^2*B50*10^3*'Power Loss'!$B$54</f>
        <v>2.2544187208352008E-3</v>
      </c>
      <c r="E19" s="42">
        <f>G50^2*'Power Loss'!$B$63/1000/'Power Loss'!$B$71+'Power Loss'!$B$64*B50*10^(-6)*((A19+0.5*E50)*'Power Loss'!$B$69+(A19-0.5*E50)*'Power Loss'!$B$70)+0.5*'Power Loss'!$B$65*Vin* B50*10^(-6)*'Power Loss'!$B$71+'Power Loss'!$B$68*10^(-9)*'Power Loss'!$B$71*Vin^2*B50*1000/2</f>
        <v>2.8214674906310976E-3</v>
      </c>
      <c r="F19" s="42">
        <f>B50*'Power Loss'!$B$79*'Power Loss'!$B$49*10^(-6)*'Power Loss'!$B$54+B50*'Power Loss'!$B$80*'Power Loss'!$B$66*10^(-6)*'Power Loss'!$B$71+'Power Loss'!$B$80*'Power Loss'!$B$81*0.001</f>
        <v>2.5554293054046044E-2</v>
      </c>
      <c r="G19" s="42">
        <f t="shared" si="1"/>
        <v>1.8991556559139628E-4</v>
      </c>
      <c r="H19" s="42">
        <f>(0.5*E50/SQRT(3))^2*'Power Loss'!$B$33/'Power Loss'!$B$31/1000</f>
        <v>4.6658368966413016E-6</v>
      </c>
      <c r="I19" s="19"/>
      <c r="J19" s="19"/>
      <c r="K19" s="19"/>
      <c r="L19" s="19"/>
      <c r="M19" s="19"/>
      <c r="N19" s="41">
        <f>Imin+(Imax-Imin)*0.01</f>
        <v>1.099E-2</v>
      </c>
      <c r="O19" s="19">
        <v>68.274422426404371</v>
      </c>
      <c r="P19" s="19"/>
      <c r="Q19" s="19">
        <v>68.878786941373349</v>
      </c>
      <c r="R19" s="19"/>
      <c r="S19" s="19">
        <v>67.069281502266392</v>
      </c>
      <c r="T19" s="19"/>
      <c r="U19" s="19"/>
      <c r="V19" s="45">
        <v>5.5094710000000002E-3</v>
      </c>
      <c r="W19" s="45">
        <v>12.1083950913</v>
      </c>
      <c r="X19" s="19"/>
      <c r="Y19" s="19"/>
      <c r="Z19" s="19"/>
      <c r="AA19" s="19"/>
      <c r="AB19" s="19"/>
      <c r="AC19" s="19"/>
      <c r="AD19" s="19"/>
    </row>
    <row r="20" spans="1:30" s="33" customFormat="1" ht="12.95" customHeight="1">
      <c r="A20" s="41">
        <f>Imin+(Imax-Imin)*0.02</f>
        <v>2.0980000000000002E-2</v>
      </c>
      <c r="B20" s="64">
        <f t="shared" si="0"/>
        <v>3.1562711970754637E-2</v>
      </c>
      <c r="C20" s="65">
        <f t="shared" si="2"/>
        <v>68.68676432628844</v>
      </c>
      <c r="D20" s="42">
        <f>F51^2*Ron_u/'Power Loss'!$B$54/1000+Vin*(A20-0.5*E51)*'Power Loss'!$B$52*10^(-9)*B51*10^(3)/2+Vin*(A20+0.5*E51)*'Power Loss'!$B$53*10^(-9)*Fs*10^(3)/2+Vin*B51*10^3*'Power Loss'!$B$48*10^(-9)*'Power Loss'!$B$54+0.5*'Power Loss'!$B$51*10^(-9)*Vin^2*B51*10^3*'Power Loss'!$B$54</f>
        <v>2.5347655024669218E-3</v>
      </c>
      <c r="E20" s="42">
        <f>G51^2*'Power Loss'!$B$63/1000/'Power Loss'!$B$71+'Power Loss'!$B$64*B51*10^(-6)*((A20+0.5*E51)*'Power Loss'!$B$69+(A20-0.5*E51)*'Power Loss'!$B$70)+0.5*'Power Loss'!$B$65*Vin* B51*10^(-6)*'Power Loss'!$B$71+'Power Loss'!$B$68*10^(-9)*'Power Loss'!$B$71*Vin^2*B51*1000/2</f>
        <v>3.20609710981729E-3</v>
      </c>
      <c r="F20" s="42">
        <f>B51*'Power Loss'!$B$79*'Power Loss'!$B$49*10^(-6)*'Power Loss'!$B$54+B51*'Power Loss'!$B$80*'Power Loss'!$B$66*10^(-6)*'Power Loss'!$B$71+'Power Loss'!$B$80*'Power Loss'!$B$81*0.001</f>
        <v>2.5614996711247534E-2</v>
      </c>
      <c r="G20" s="42">
        <f t="shared" si="1"/>
        <v>2.0218380575305514E-4</v>
      </c>
      <c r="H20" s="42">
        <f>(0.5*E51/SQRT(3))^2*'Power Loss'!$B$33/'Power Loss'!$B$31/1000</f>
        <v>4.6688414698363642E-6</v>
      </c>
      <c r="I20" s="19"/>
      <c r="J20" s="19"/>
      <c r="K20" s="19"/>
      <c r="L20" s="19"/>
      <c r="M20" s="19"/>
      <c r="N20" s="41">
        <f>Imin+(Imax-Imin)*0.02</f>
        <v>2.0980000000000002E-2</v>
      </c>
      <c r="O20" s="19">
        <v>80.471746735610026</v>
      </c>
      <c r="P20" s="19"/>
      <c r="Q20" s="19">
        <v>80.876075527140287</v>
      </c>
      <c r="R20" s="19"/>
      <c r="S20" s="19">
        <v>79.579986564443658</v>
      </c>
      <c r="T20" s="19"/>
      <c r="U20" s="19"/>
      <c r="V20" s="45">
        <v>6.5881908000000001E-3</v>
      </c>
      <c r="W20" s="45">
        <v>14.157374986300001</v>
      </c>
      <c r="X20" s="19"/>
      <c r="Y20" s="19"/>
      <c r="Z20" s="19"/>
      <c r="AA20" s="19"/>
      <c r="AB20" s="19"/>
      <c r="AC20" s="19"/>
      <c r="AD20" s="19"/>
    </row>
    <row r="21" spans="1:30" s="33" customFormat="1" ht="12.95" customHeight="1">
      <c r="A21" s="41">
        <f>Imin+(Imax-Imin)*0.04</f>
        <v>4.0960000000000003E-2</v>
      </c>
      <c r="B21" s="64">
        <f t="shared" si="0"/>
        <v>3.3648149636405576E-2</v>
      </c>
      <c r="C21" s="65">
        <f t="shared" si="2"/>
        <v>80.068169005822838</v>
      </c>
      <c r="D21" s="42">
        <f>F52^2*Ron_u/'Power Loss'!$B$54/1000+Vin*(A21-0.5*E52)*'Power Loss'!$B$52*10^(-9)*B52*10^(3)/2+Vin*(A21+0.5*E52)*'Power Loss'!$B$53*10^(-9)*Fs*10^(3)/2+Vin*B52*10^3*'Power Loss'!$B$48*10^(-9)*'Power Loss'!$B$54+0.5*'Power Loss'!$B$51*10^(-9)*Vin^2*B52*10^3*'Power Loss'!$B$54</f>
        <v>3.3062102006714469E-3</v>
      </c>
      <c r="E21" s="42">
        <f>G52^2*'Power Loss'!$B$63/1000/'Power Loss'!$B$71+'Power Loss'!$B$64*B52*10^(-6)*((A21+0.5*E52)*'Power Loss'!$B$69+(A21-0.5*E52)*'Power Loss'!$B$70)+0.5*'Power Loss'!$B$65*Vin* B52*10^(-6)*'Power Loss'!$B$71+'Power Loss'!$B$68*10^(-9)*'Power Loss'!$B$71*Vin^2*B52*1000/2</f>
        <v>4.3051451871636637E-3</v>
      </c>
      <c r="F21" s="42">
        <f>B52*'Power Loss'!$B$79*'Power Loss'!$B$49*10^(-6)*'Power Loss'!$B$54+B52*'Power Loss'!$B$80*'Power Loss'!$B$66*10^(-6)*'Power Loss'!$B$71+'Power Loss'!$B$80*'Power Loss'!$B$81*0.001</f>
        <v>2.5787478944413252E-2</v>
      </c>
      <c r="G21" s="42">
        <f t="shared" si="1"/>
        <v>2.4464044894662723E-4</v>
      </c>
      <c r="H21" s="42">
        <f>(0.5*E52/SQRT(3))^2*'Power Loss'!$B$33/'Power Loss'!$B$31/1000</f>
        <v>4.6748552105888478E-6</v>
      </c>
      <c r="I21" s="19"/>
      <c r="J21" s="19"/>
      <c r="K21" s="19"/>
      <c r="L21" s="19"/>
      <c r="M21" s="19"/>
      <c r="N21" s="41">
        <f>Imin+(Imax-Imin)*0.04</f>
        <v>4.0960000000000003E-2</v>
      </c>
      <c r="O21" s="19">
        <v>88.494492120450374</v>
      </c>
      <c r="P21" s="19"/>
      <c r="Q21" s="19">
        <v>88.704326074239574</v>
      </c>
      <c r="R21" s="19"/>
      <c r="S21" s="19">
        <v>87.904952881326963</v>
      </c>
      <c r="T21" s="19"/>
      <c r="U21" s="19"/>
      <c r="V21" s="45">
        <v>7.6271960000000001E-3</v>
      </c>
      <c r="W21" s="45">
        <v>16.022747336599998</v>
      </c>
      <c r="X21" s="19"/>
      <c r="Y21" s="19"/>
      <c r="Z21" s="19"/>
      <c r="AA21" s="19"/>
      <c r="AB21" s="19"/>
      <c r="AC21" s="19"/>
      <c r="AD21" s="19"/>
    </row>
    <row r="22" spans="1:30" s="33" customFormat="1" ht="12.95" customHeight="1">
      <c r="A22" s="41">
        <f>Imin+(Imax-Imin)*0.06</f>
        <v>6.0940000000000001E-2</v>
      </c>
      <c r="B22" s="64">
        <f t="shared" si="0"/>
        <v>3.7256869984663425E-2</v>
      </c>
      <c r="C22" s="65">
        <f t="shared" si="2"/>
        <v>84.369421625861619</v>
      </c>
      <c r="D22" s="42">
        <f>F53^2*Ron_u/'Power Loss'!$B$54/1000+Vin*(A22-0.5*E53)*'Power Loss'!$B$52*10^(-9)*B53*10^(3)/2+Vin*(A22+0.5*E53)*'Power Loss'!$B$53*10^(-9)*Fs*10^(3)/2+Vin*B53*10^3*'Power Loss'!$B$48*10^(-9)*'Power Loss'!$B$54+0.5*'Power Loss'!$B$51*10^(-9)*Vin^2*B53*10^3*'Power Loss'!$B$54</f>
        <v>4.579905594542316E-3</v>
      </c>
      <c r="E22" s="42">
        <f>G53^2*'Power Loss'!$B$63/1000/'Power Loss'!$B$71+'Power Loss'!$B$64*B53*10^(-6)*((A22+0.5*E53)*'Power Loss'!$B$69+(A22-0.5*E53)*'Power Loss'!$B$70)+0.5*'Power Loss'!$B$65*Vin* B53*10^(-6)*'Power Loss'!$B$71+'Power Loss'!$B$68*10^(-9)*'Power Loss'!$B$71*Vin^2*B53*1000/2</f>
        <v>6.2577688726939739E-3</v>
      </c>
      <c r="F22" s="42">
        <f>B53*'Power Loss'!$B$79*'Power Loss'!$B$49*10^(-6)*'Power Loss'!$B$54+B53*'Power Loss'!$B$80*'Power Loss'!$B$66*10^(-6)*'Power Loss'!$B$71+'Power Loss'!$B$80*'Power Loss'!$B$81*0.001</f>
        <v>2.609442060085837E-2</v>
      </c>
      <c r="G22" s="42">
        <f t="shared" si="1"/>
        <v>3.2009404148691703E-4</v>
      </c>
      <c r="H22" s="42">
        <f>(0.5*E53/SQRT(3))^2*'Power Loss'!$B$33/'Power Loss'!$B$31/1000</f>
        <v>4.6808750818492548E-6</v>
      </c>
      <c r="I22" s="19"/>
      <c r="J22" s="19"/>
      <c r="K22" s="19"/>
      <c r="L22" s="19"/>
      <c r="M22" s="19"/>
      <c r="N22" s="41">
        <f>Imin+(Imax-Imin)*0.06</f>
        <v>6.0940000000000001E-2</v>
      </c>
      <c r="O22" s="19">
        <v>91.479899722345209</v>
      </c>
      <c r="P22" s="19"/>
      <c r="Q22" s="19">
        <v>91.588314334780449</v>
      </c>
      <c r="R22" s="19"/>
      <c r="S22" s="19">
        <v>91.025287660866098</v>
      </c>
      <c r="T22" s="19"/>
      <c r="U22" s="19"/>
      <c r="V22" s="45">
        <v>8.6827413999999992E-3</v>
      </c>
      <c r="W22" s="45">
        <v>17.850010966500001</v>
      </c>
      <c r="X22" s="19"/>
      <c r="Y22" s="19"/>
      <c r="Z22" s="19"/>
      <c r="AA22" s="19"/>
      <c r="AB22" s="19"/>
      <c r="AC22" s="19"/>
      <c r="AD22" s="19"/>
    </row>
    <row r="23" spans="1:30" s="33" customFormat="1" ht="12.95" customHeight="1">
      <c r="A23" s="41">
        <f>Imin+(Imax-Imin)*0.08</f>
        <v>8.0920000000000006E-2</v>
      </c>
      <c r="B23" s="64">
        <f>SUM(D23:H23)</f>
        <v>4.2155148609845275E-2</v>
      </c>
      <c r="C23" s="65">
        <f>Vout*A23/(Vout*A23+B23)*100</f>
        <v>86.365991135458088</v>
      </c>
      <c r="D23" s="42">
        <f>F54^2*Ron_u/'Power Loss'!$B$54/1000+Vin*(A23-0.5*E54)*'Power Loss'!$B$52*10^(-9)*B54*10^(3)/2+Vin*(A23+0.5*E54)*'Power Loss'!$B$53*10^(-9)*Fs*10^(3)/2+Vin*B54*10^3*'Power Loss'!$B$48*10^(-9)*'Power Loss'!$B$54+0.5*'Power Loss'!$B$51*10^(-9)*Vin^2*B54*10^3*'Power Loss'!$B$54</f>
        <v>6.2714420904660022E-3</v>
      </c>
      <c r="E23" s="42">
        <f>G54^2*'Power Loss'!$B$63/1000/'Power Loss'!$B$71+'Power Loss'!$B$64*B54*10^(-6)*((A23+0.5*E54)*'Power Loss'!$B$69+(A23-0.5*E54)*'Power Loss'!$B$70)+0.5*'Power Loss'!$B$65*Vin* B54*10^(-6)*'Power Loss'!$B$71+'Power Loss'!$B$68*10^(-9)*'Power Loss'!$B$71*Vin^2*B54*1000/2</f>
        <v>8.9504878483419592E-3</v>
      </c>
      <c r="F23" s="42">
        <f>B54*'Power Loss'!$B$79*'Power Loss'!$B$49*10^(-6)*'Power Loss'!$B$54+B54*'Power Loss'!$B$80*'Power Loss'!$B$66*10^(-6)*'Power Loss'!$B$71+'Power Loss'!$B$80*'Power Loss'!$B$81*0.001</f>
        <v>2.6500000000000003E-2</v>
      </c>
      <c r="G23" s="42">
        <f t="shared" si="1"/>
        <v>4.2853779595546039E-4</v>
      </c>
      <c r="H23" s="42">
        <f>(0.5*E53/SQRT(3))^2*'Power Loss'!$B$33/'Power Loss'!$B$31/1000</f>
        <v>4.6808750818492548E-6</v>
      </c>
      <c r="I23" s="19"/>
      <c r="J23" s="19"/>
      <c r="K23" s="19"/>
      <c r="L23" s="19"/>
      <c r="M23" s="19"/>
      <c r="N23" s="41">
        <f>Imin+(Imax-Imin)*0.08</f>
        <v>8.0920000000000006E-2</v>
      </c>
      <c r="O23" s="19">
        <v>92.971008155624347</v>
      </c>
      <c r="P23" s="19"/>
      <c r="Q23" s="19">
        <v>93.003695473708504</v>
      </c>
      <c r="R23" s="19"/>
      <c r="S23" s="19">
        <v>92.589950852084186</v>
      </c>
      <c r="T23" s="19"/>
      <c r="U23" s="19"/>
      <c r="V23" s="45">
        <v>9.7393173999999992E-3</v>
      </c>
      <c r="W23" s="45">
        <v>19.589428657500001</v>
      </c>
      <c r="X23" s="19"/>
      <c r="Y23" s="19"/>
      <c r="Z23" s="19"/>
      <c r="AA23" s="19"/>
      <c r="AB23" s="19"/>
      <c r="AC23" s="19"/>
      <c r="AD23" s="19"/>
    </row>
    <row r="24" spans="1:30" s="33" customFormat="1" ht="12.95" customHeight="1">
      <c r="A24" s="41">
        <f>Imin+(Imax-Imin)*0.1</f>
        <v>0.1009</v>
      </c>
      <c r="B24" s="64">
        <f t="shared" si="0"/>
        <v>4.3128421560725431E-2</v>
      </c>
      <c r="C24" s="65">
        <f t="shared" si="2"/>
        <v>88.532676797272373</v>
      </c>
      <c r="D24" s="42">
        <f>F55^2*Ron_u/'Power Loss'!$B$54/1000+Vin*(A24-0.5*E55)*'Power Loss'!$B$52*10^(-9)*B55*10^(3)/2+Vin*(A24+0.5*E55)*'Power Loss'!$B$53*10^(-9)*Fs*10^(3)/2+Vin*B55*10^3*'Power Loss'!$B$48*10^(-9)*'Power Loss'!$B$54+0.5*'Power Loss'!$B$51*10^(-9)*Vin^2*B55*10^3*'Power Loss'!$B$54</f>
        <v>6.7440401617415427E-3</v>
      </c>
      <c r="E24" s="42">
        <f>G55^2*'Power Loss'!$B$63/1000/'Power Loss'!$B$71+'Power Loss'!$B$64*B55*10^(-6)*((A24+0.5*E55)*'Power Loss'!$B$69+(A24-0.5*E55)*'Power Loss'!$B$70)+0.5*'Power Loss'!$B$65*Vin* B55*10^(-6)*'Power Loss'!$B$71+'Power Loss'!$B$68*10^(-9)*'Power Loss'!$B$71*Vin^2*B55*1000/2</f>
        <v>9.3774749396590695E-3</v>
      </c>
      <c r="F24" s="42">
        <f>B55*'Power Loss'!$B$79*'Power Loss'!$B$49*10^(-6)*'Power Loss'!$B$54+B55*'Power Loss'!$B$80*'Power Loss'!$B$66*10^(-6)*'Power Loss'!$B$71+'Power Loss'!$B$80*'Power Loss'!$B$81*0.001</f>
        <v>2.6500000000000003E-2</v>
      </c>
      <c r="G24" s="42">
        <f t="shared" si="1"/>
        <v>5.0221352608637417E-4</v>
      </c>
      <c r="H24" s="42">
        <f>(0.5*E54/SQRT(3))^2*'Power Loss'!$B$33/'Power Loss'!$B$31/1000</f>
        <v>4.6929332384392129E-6</v>
      </c>
      <c r="I24" s="19"/>
      <c r="J24" s="19"/>
      <c r="K24" s="19"/>
      <c r="L24" s="19"/>
      <c r="M24" s="19"/>
      <c r="N24" s="41">
        <f>Imin+(Imax-Imin)*0.1</f>
        <v>0.1009</v>
      </c>
      <c r="O24" s="19">
        <v>93.808373097451707</v>
      </c>
      <c r="P24" s="19"/>
      <c r="Q24" s="19">
        <v>93.766138166297097</v>
      </c>
      <c r="R24" s="19"/>
      <c r="S24" s="19">
        <v>93.470276990904196</v>
      </c>
      <c r="T24" s="19"/>
      <c r="U24" s="19"/>
      <c r="V24" s="45">
        <v>1.9254705899999999E-2</v>
      </c>
      <c r="W24" s="45">
        <v>32.494355790199997</v>
      </c>
      <c r="X24" s="19"/>
      <c r="Y24" s="19"/>
      <c r="Z24" s="19"/>
      <c r="AA24" s="19"/>
      <c r="AB24" s="19"/>
      <c r="AC24" s="19"/>
      <c r="AD24" s="19"/>
    </row>
    <row r="25" spans="1:30" s="33" customFormat="1" ht="12.95" customHeight="1">
      <c r="A25" s="41">
        <f>Imin+(Imax-Imin)*0.15</f>
        <v>0.15084999999999998</v>
      </c>
      <c r="B25" s="64">
        <f t="shared" ref="B25:B38" si="3">SUM(D25:H25)</f>
        <v>4.5931455915409918E-2</v>
      </c>
      <c r="C25" s="65">
        <f t="shared" ref="C25:C38" si="4">Vout*A25/(Vout*A25+B25)*100</f>
        <v>91.552625280921845</v>
      </c>
      <c r="D25" s="42">
        <f>F56^2*Ron_u/'Power Loss'!$B$54/1000+Vin*(A25-0.5*E56)*'Power Loss'!$B$52*10^(-9)*B56*10^(3)/2+Vin*(A25+0.5*E56)*'Power Loss'!$B$53*10^(-9)*Fs*10^(3)/2+Vin*B56*10^3*'Power Loss'!$B$48*10^(-9)*'Power Loss'!$B$54+0.5*'Power Loss'!$B$51*10^(-9)*Vin^2*B56*10^3*'Power Loss'!$B$54</f>
        <v>8.1623260279309329E-3</v>
      </c>
      <c r="E25" s="42">
        <f>G56^2*'Power Loss'!$B$63/1000/'Power Loss'!$B$71+'Power Loss'!$B$64*B56*10^(-6)*((A25+0.5*E56)*'Power Loss'!$B$69+(A25-0.5*E56)*'Power Loss'!$B$70)+0.5*'Power Loss'!$B$65*Vin* B56*10^(-6)*'Power Loss'!$B$71+'Power Loss'!$B$68*10^(-9)*'Power Loss'!$B$71*Vin^2*B56*1000/2</f>
        <v>1.0509686783983025E-2</v>
      </c>
      <c r="F25" s="42">
        <f>B56*'Power Loss'!$B$79*'Power Loss'!$B$49*10^(-6)*'Power Loss'!$B$54+B56*'Power Loss'!$B$80*'Power Loss'!$B$66*10^(-6)*'Power Loss'!$B$71+'Power Loss'!$B$80*'Power Loss'!$B$81*0.001</f>
        <v>2.6500000000000003E-2</v>
      </c>
      <c r="G25" s="42">
        <f t="shared" si="1"/>
        <v>7.5473506297716979E-4</v>
      </c>
      <c r="H25" s="42">
        <f>(0.5*E55/SQRT(3))^2*'Power Loss'!$B$33/'Power Loss'!$B$31/1000</f>
        <v>4.7080405187795535E-6</v>
      </c>
      <c r="I25" s="19"/>
      <c r="J25" s="19"/>
      <c r="K25" s="19"/>
      <c r="L25" s="19"/>
      <c r="M25" s="19"/>
      <c r="N25" s="41">
        <f>Imin+(Imax-Imin)*0.15</f>
        <v>0.15084999999999998</v>
      </c>
      <c r="O25" s="19">
        <v>94.59134778002533</v>
      </c>
      <c r="P25" s="19"/>
      <c r="Q25" s="19">
        <v>94.232561837692529</v>
      </c>
      <c r="R25" s="19"/>
      <c r="S25" s="19">
        <v>94.283496268270184</v>
      </c>
      <c r="T25" s="19"/>
      <c r="U25" s="19"/>
      <c r="V25" s="45">
        <v>2.9773047E-2</v>
      </c>
      <c r="W25" s="45">
        <v>42.622262460400002</v>
      </c>
      <c r="X25" s="19"/>
      <c r="Y25" s="19"/>
      <c r="Z25" s="19"/>
      <c r="AA25" s="19"/>
      <c r="AB25" s="19"/>
      <c r="AC25" s="19"/>
      <c r="AD25" s="19"/>
    </row>
    <row r="26" spans="1:30" s="33" customFormat="1" ht="12.95" customHeight="1">
      <c r="A26" s="41">
        <f>Imin+(Imax-Imin)*0.2</f>
        <v>0.20080000000000001</v>
      </c>
      <c r="B26" s="64">
        <f t="shared" si="3"/>
        <v>4.9267679924413749E-2</v>
      </c>
      <c r="C26" s="65">
        <f t="shared" si="4"/>
        <v>93.079484698122002</v>
      </c>
      <c r="D26" s="42">
        <f>F57^2*Ron_u/'Power Loss'!$B$54/1000+Vin*(A26-0.5*E57)*'Power Loss'!$B$52*10^(-9)*B57*10^(3)/2+Vin*(A26+0.5*E57)*'Power Loss'!$B$53*10^(-9)*Fs*10^(3)/2+Vin*B57*10^3*'Power Loss'!$B$48*10^(-9)*'Power Loss'!$B$54+0.5*'Power Loss'!$B$51*10^(-9)*Vin^2*B57*10^3*'Power Loss'!$B$54</f>
        <v>9.9230381024051108E-3</v>
      </c>
      <c r="E26" s="42">
        <f>G57^2*'Power Loss'!$B$63/1000/'Power Loss'!$B$71+'Power Loss'!$B$64*B57*10^(-6)*((A26+0.5*E57)*'Power Loss'!$B$69+(A26-0.5*E57)*'Power Loss'!$B$70)+0.5*'Power Loss'!$B$65*Vin* B57*10^(-6)*'Power Loss'!$B$71+'Power Loss'!$B$68*10^(-9)*'Power Loss'!$B$71*Vin^2*B57*1000/2</f>
        <v>1.1732859099981747E-2</v>
      </c>
      <c r="F26" s="42">
        <f>B57*'Power Loss'!$B$79*'Power Loss'!$B$49*10^(-6)*'Power Loss'!$B$54+B57*'Power Loss'!$B$80*'Power Loss'!$B$66*10^(-6)*'Power Loss'!$B$71+'Power Loss'!$B$80*'Power Loss'!$B$81*0.001</f>
        <v>2.6500000000000003E-2</v>
      </c>
      <c r="G26" s="42">
        <f t="shared" si="1"/>
        <v>1.10705953571792E-3</v>
      </c>
      <c r="H26" s="42">
        <f>(0.5*E56/SQRT(3))^2*'Power Loss'!$B$33/'Power Loss'!$B$31/1000</f>
        <v>4.7231863089641147E-6</v>
      </c>
      <c r="I26" s="19"/>
      <c r="J26" s="19"/>
      <c r="K26" s="19"/>
      <c r="L26" s="19"/>
      <c r="M26" s="19"/>
      <c r="N26" s="41">
        <f>Imin+(Imax-Imin)*0.2</f>
        <v>0.20080000000000001</v>
      </c>
      <c r="O26" s="19">
        <v>94.658461066800754</v>
      </c>
      <c r="P26" s="19"/>
      <c r="Q26" s="19">
        <v>94.799832761441323</v>
      </c>
      <c r="R26" s="19"/>
      <c r="S26" s="19">
        <v>94.354055281965117</v>
      </c>
      <c r="T26" s="19"/>
      <c r="U26" s="19"/>
      <c r="V26" s="45">
        <v>3.9285583700000001E-2</v>
      </c>
      <c r="W26" s="45">
        <v>49.483800415300003</v>
      </c>
      <c r="X26" s="19"/>
      <c r="Y26" s="19"/>
      <c r="Z26" s="19"/>
      <c r="AA26" s="19"/>
      <c r="AB26" s="19"/>
      <c r="AC26" s="19"/>
      <c r="AD26" s="19"/>
    </row>
    <row r="27" spans="1:30" s="33" customFormat="1" ht="12.95" customHeight="1">
      <c r="A27" s="41">
        <f>Imin+(Imax-Imin)*0.25</f>
        <v>0.25074999999999997</v>
      </c>
      <c r="B27" s="64">
        <f t="shared" si="3"/>
        <v>5.314265798269889E-2</v>
      </c>
      <c r="C27" s="65">
        <f t="shared" si="4"/>
        <v>93.965297254606838</v>
      </c>
      <c r="D27" s="42">
        <f>F58^2*Ron_u/'Power Loss'!$B$54/1000+Vin*(A27-0.5*E58)*'Power Loss'!$B$52*10^(-9)*B58*10^(3)/2+Vin*(A27+0.5*E58)*'Power Loss'!$B$53*10^(-9)*Fs*10^(3)/2+Vin*B58*10^3*'Power Loss'!$B$48*10^(-9)*'Power Loss'!$B$54+0.5*'Power Loss'!$B$51*10^(-9)*Vin^2*B58*10^3*'Power Loss'!$B$54</f>
        <v>1.2035316970779232E-2</v>
      </c>
      <c r="E27" s="42">
        <f>G58^2*'Power Loss'!$B$63/1000/'Power Loss'!$B$71+'Power Loss'!$B$64*B58*10^(-6)*((A27+0.5*E58)*'Power Loss'!$B$69+(A27-0.5*E58)*'Power Loss'!$B$70)+0.5*'Power Loss'!$B$65*Vin* B58*10^(-6)*'Power Loss'!$B$71+'Power Loss'!$B$68*10^(-9)*'Power Loss'!$B$71*Vin^2*B58*1000/2</f>
        <v>1.3042383874014914E-2</v>
      </c>
      <c r="F27" s="42">
        <f>B58*'Power Loss'!$B$79*'Power Loss'!$B$49*10^(-6)*'Power Loss'!$B$54+B58*'Power Loss'!$B$80*'Power Loss'!$B$66*10^(-6)*'Power Loss'!$B$71+'Power Loss'!$B$80*'Power Loss'!$B$81*0.001</f>
        <v>2.6500000000000003E-2</v>
      </c>
      <c r="G27" s="42">
        <f t="shared" si="1"/>
        <v>1.5602187672071285E-3</v>
      </c>
      <c r="H27" s="42">
        <f>(0.5*E57/SQRT(3))^2*'Power Loss'!$B$33/'Power Loss'!$B$31/1000</f>
        <v>4.7383706976130792E-6</v>
      </c>
      <c r="I27" s="19"/>
      <c r="J27" s="19"/>
      <c r="K27" s="19"/>
      <c r="L27" s="19"/>
      <c r="M27" s="19"/>
      <c r="N27" s="41">
        <f>Imin+(Imax-Imin)*0.25</f>
        <v>0.25074999999999997</v>
      </c>
      <c r="O27" s="19">
        <v>95.151056859633727</v>
      </c>
      <c r="P27" s="19"/>
      <c r="Q27" s="19">
        <v>95.306284525264644</v>
      </c>
      <c r="R27" s="19"/>
      <c r="S27" s="19">
        <v>94.948255655693288</v>
      </c>
      <c r="T27" s="19"/>
      <c r="U27" s="19"/>
      <c r="V27" s="45">
        <v>4.9841688299999999E-2</v>
      </c>
      <c r="W27" s="45">
        <v>55.373442584000003</v>
      </c>
      <c r="X27" s="19"/>
      <c r="Y27" s="19"/>
      <c r="Z27" s="19"/>
      <c r="AA27" s="19"/>
      <c r="AB27" s="19"/>
      <c r="AC27" s="19"/>
      <c r="AD27" s="19"/>
    </row>
    <row r="28" spans="1:30" s="33" customFormat="1" ht="12.95" customHeight="1">
      <c r="A28" s="41">
        <f>Imin+(Imax-Imin)*0.35</f>
        <v>0.35064999999999996</v>
      </c>
      <c r="B28" s="64">
        <f t="shared" si="3"/>
        <v>6.2483020742479474E-2</v>
      </c>
      <c r="C28" s="65">
        <f t="shared" si="4"/>
        <v>94.876878877836745</v>
      </c>
      <c r="D28" s="42">
        <f>F59^2*Ron_u/'Power Loss'!$B$54/1000+Vin*(A28-0.5*E59)*'Power Loss'!$B$52*10^(-9)*B59*10^(3)/2+Vin*(A28+0.5*E59)*'Power Loss'!$B$53*10^(-9)*Fs*10^(3)/2+Vin*B59*10^3*'Power Loss'!$B$48*10^(-9)*'Power Loss'!$B$54+0.5*'Power Loss'!$B$51*10^(-9)*Vin^2*B59*10^3*'Power Loss'!$B$54</f>
        <v>1.7276142076320396E-2</v>
      </c>
      <c r="E28" s="42">
        <f>G59^2*'Power Loss'!$B$63/1000/'Power Loss'!$B$71+'Power Loss'!$B$64*B59*10^(-6)*((A28+0.5*E59)*'Power Loss'!$B$69+(A28-0.5*E59)*'Power Loss'!$B$70)+0.5*'Power Loss'!$B$65*Vin* B59*10^(-6)*'Power Loss'!$B$71+'Power Loss'!$B$68*10^(-9)*'Power Loss'!$B$71*Vin^2*B59*1000/2</f>
        <v>1.5939259170299667E-2</v>
      </c>
      <c r="F28" s="42">
        <f>B59*'Power Loss'!$B$79*'Power Loss'!$B$49*10^(-6)*'Power Loss'!$B$54+B59*'Power Loss'!$B$80*'Power Loss'!$B$66*10^(-6)*'Power Loss'!$B$71+'Power Loss'!$B$80*'Power Loss'!$B$81*0.001</f>
        <v>2.6500000000000003E-2</v>
      </c>
      <c r="G28" s="42">
        <f t="shared" si="1"/>
        <v>2.7628506402334664E-3</v>
      </c>
      <c r="H28" s="42">
        <f>(0.5*E58/SQRT(3))^2*'Power Loss'!$B$33/'Power Loss'!$B$31/1000</f>
        <v>4.7688556259422349E-6</v>
      </c>
      <c r="I28" s="19"/>
      <c r="J28" s="19"/>
      <c r="K28" s="19"/>
      <c r="L28" s="19"/>
      <c r="M28" s="19"/>
      <c r="N28" s="41">
        <f>Imin+(Imax-Imin)*0.35</f>
        <v>0.35064999999999996</v>
      </c>
      <c r="O28" s="19">
        <v>95.577037833224622</v>
      </c>
      <c r="P28" s="19"/>
      <c r="Q28" s="19">
        <v>95.754922899006601</v>
      </c>
      <c r="R28" s="19"/>
      <c r="S28" s="19">
        <v>95.513179452233004</v>
      </c>
      <c r="T28" s="19"/>
      <c r="U28" s="19"/>
      <c r="V28" s="45">
        <v>5.9356326199999997E-2</v>
      </c>
      <c r="W28" s="45">
        <v>59.618327543299998</v>
      </c>
      <c r="X28" s="19"/>
      <c r="Y28" s="19"/>
      <c r="Z28" s="19"/>
      <c r="AA28" s="19"/>
      <c r="AB28" s="19"/>
      <c r="AC28" s="19"/>
      <c r="AD28" s="19"/>
    </row>
    <row r="29" spans="1:30" s="33" customFormat="1" ht="12.95" customHeight="1">
      <c r="A29" s="41">
        <f>Imin+(Imax-Imin)*0.4</f>
        <v>0.40060000000000001</v>
      </c>
      <c r="B29" s="64">
        <f t="shared" si="3"/>
        <v>6.7959541328406009E-2</v>
      </c>
      <c r="C29" s="65">
        <f t="shared" si="4"/>
        <v>95.110611698732228</v>
      </c>
      <c r="D29" s="42">
        <f>F60^2*Ron_u/'Power Loss'!$B$54/1000+Vin*(A29-0.5*E60)*'Power Loss'!$B$52*10^(-9)*B60*10^(3)/2+Vin*(A29+0.5*E60)*'Power Loss'!$B$53*10^(-9)*Fs*10^(3)/2+Vin*B60*10^3*'Power Loss'!$B$48*10^(-9)*'Power Loss'!$B$54+0.5*'Power Loss'!$B$51*10^(-9)*Vin^2*B60*10^3*'Power Loss'!$B$54</f>
        <v>2.0422984944267471E-2</v>
      </c>
      <c r="E29" s="42">
        <f>G60^2*'Power Loss'!$B$63/1000/'Power Loss'!$B$71+'Power Loss'!$B$64*B60*10^(-6)*((A29+0.5*E60)*'Power Loss'!$B$69+(A29-0.5*E60)*'Power Loss'!$B$70)+0.5*'Power Loss'!$B$65*Vin* B60*10^(-6)*'Power Loss'!$B$71+'Power Loss'!$B$68*10^(-9)*'Power Loss'!$B$71*Vin^2*B60*1000/2</f>
        <v>1.7517385300128866E-2</v>
      </c>
      <c r="F29" s="42">
        <f>B60*'Power Loss'!$B$79*'Power Loss'!$B$49*10^(-6)*'Power Loss'!$B$54+B60*'Power Loss'!$B$80*'Power Loss'!$B$66*10^(-6)*'Power Loss'!$B$71+'Power Loss'!$B$80*'Power Loss'!$B$81*0.001</f>
        <v>2.6500000000000003E-2</v>
      </c>
      <c r="G29" s="42">
        <f t="shared" si="1"/>
        <v>3.5143869276656444E-3</v>
      </c>
      <c r="H29" s="42">
        <f>(0.5*E59/SQRT(3))^2*'Power Loss'!$B$33/'Power Loss'!$B$31/1000</f>
        <v>4.7841563440221278E-6</v>
      </c>
      <c r="I29" s="19"/>
      <c r="J29" s="19"/>
      <c r="K29" s="19"/>
      <c r="L29" s="19"/>
      <c r="M29" s="19"/>
      <c r="N29" s="41">
        <f>Imin+(Imax-Imin)*0.4</f>
        <v>0.40060000000000001</v>
      </c>
      <c r="O29" s="19">
        <v>95.644220320773073</v>
      </c>
      <c r="P29" s="19"/>
      <c r="Q29" s="19">
        <v>95.833136159350744</v>
      </c>
      <c r="R29" s="19"/>
      <c r="S29" s="19">
        <v>95.633591745999695</v>
      </c>
      <c r="T29" s="19"/>
      <c r="U29" s="19"/>
      <c r="V29" s="45">
        <v>6.9937306300000002E-2</v>
      </c>
      <c r="W29" s="45">
        <v>63.5042685154</v>
      </c>
      <c r="X29" s="19"/>
      <c r="Y29" s="19"/>
      <c r="Z29" s="19"/>
      <c r="AA29" s="19"/>
      <c r="AB29" s="19"/>
      <c r="AC29" s="19"/>
      <c r="AD29" s="19"/>
    </row>
    <row r="30" spans="1:30" s="33" customFormat="1" ht="12.95" customHeight="1">
      <c r="A30" s="41">
        <f>Imin+(Imax-Imin)*0.45</f>
        <v>0.45055000000000001</v>
      </c>
      <c r="B30" s="64">
        <f t="shared" si="3"/>
        <v>7.3973027654683249E-2</v>
      </c>
      <c r="C30" s="65">
        <f t="shared" si="4"/>
        <v>95.260533375192608</v>
      </c>
      <c r="D30" s="42">
        <f>F61^2*Ron_u/'Power Loss'!$B$54/1000+Vin*(A30-0.5*E61)*'Power Loss'!$B$52*10^(-9)*B61*10^(3)/2+Vin*(A30+0.5*E61)*'Power Loss'!$B$53*10^(-9)*Fs*10^(3)/2+Vin*B61*10^3*'Power Loss'!$B$48*10^(-9)*'Power Loss'!$B$54+0.5*'Power Loss'!$B$51*10^(-9)*Vin^2*B61*10^3*'Power Loss'!$B$54</f>
        <v>2.3920482485714475E-2</v>
      </c>
      <c r="E30" s="42">
        <f>G61^2*'Power Loss'!$B$63/1000/'Power Loss'!$B$71+'Power Loss'!$B$64*B61*10^(-6)*((A30+0.5*E61)*'Power Loss'!$B$69+(A30-0.5*E61)*'Power Loss'!$B$70)+0.5*'Power Loss'!$B$65*Vin* B61*10^(-6)*'Power Loss'!$B$71+'Power Loss'!$B$68*10^(-9)*'Power Loss'!$B$71*Vin^2*B61*1000/2</f>
        <v>1.9182019486259572E-2</v>
      </c>
      <c r="F30" s="42">
        <f>B61*'Power Loss'!$B$79*'Power Loss'!$B$49*10^(-6)*'Power Loss'!$B$54+B61*'Power Loss'!$B$80*'Power Loss'!$B$66*10^(-6)*'Power Loss'!$B$71+'Power Loss'!$B$80*'Power Loss'!$B$81*0.001</f>
        <v>2.6500000000000003E-2</v>
      </c>
      <c r="G30" s="42">
        <f t="shared" si="1"/>
        <v>4.3657261866918385E-3</v>
      </c>
      <c r="H30" s="42">
        <f>(0.5*E60/SQRT(3))^2*'Power Loss'!$B$33/'Power Loss'!$B$31/1000</f>
        <v>4.7994960173672318E-6</v>
      </c>
      <c r="I30" s="19"/>
      <c r="J30" s="19"/>
      <c r="K30" s="19"/>
      <c r="L30" s="19"/>
      <c r="M30" s="19"/>
      <c r="N30" s="41">
        <f>Imin+(Imax-Imin)*0.45</f>
        <v>0.45055000000000001</v>
      </c>
      <c r="O30" s="19">
        <v>95.6574689671844</v>
      </c>
      <c r="P30" s="19"/>
      <c r="Q30" s="19">
        <v>95.857110804577559</v>
      </c>
      <c r="R30" s="19"/>
      <c r="S30" s="19">
        <v>95.693725049452212</v>
      </c>
      <c r="T30" s="19"/>
      <c r="U30" s="19"/>
      <c r="V30" s="45">
        <v>7.9432021800000002E-2</v>
      </c>
      <c r="W30" s="45">
        <v>66.383248894999994</v>
      </c>
      <c r="X30" s="19"/>
      <c r="Y30" s="19"/>
      <c r="Z30" s="19"/>
      <c r="AA30" s="19"/>
      <c r="AB30" s="19"/>
      <c r="AC30" s="19"/>
      <c r="AD30" s="19"/>
    </row>
    <row r="31" spans="1:30" s="33" customFormat="1" ht="12.95" customHeight="1">
      <c r="A31" s="41">
        <f>Imin+(Imax-Imin)*0.5</f>
        <v>0.50049999999999994</v>
      </c>
      <c r="B31" s="64">
        <f t="shared" si="3"/>
        <v>8.0524239213970741E-2</v>
      </c>
      <c r="C31" s="65">
        <f t="shared" si="4"/>
        <v>95.351262165721209</v>
      </c>
      <c r="D31" s="42">
        <f>F62^2*Ron_u/'Power Loss'!$B$54/1000+Vin*(A31-0.5*E62)*'Power Loss'!$B$52*10^(-9)*B62*10^(3)/2+Vin*(A31+0.5*E62)*'Power Loss'!$B$53*10^(-9)*Fs*10^(3)/2+Vin*B62*10^3*'Power Loss'!$B$48*10^(-9)*'Power Loss'!$B$54+0.5*'Power Loss'!$B$51*10^(-9)*Vin^2*B62*10^3*'Power Loss'!$B$54</f>
        <v>2.7770289710289643E-2</v>
      </c>
      <c r="E31" s="42">
        <f>G62^2*'Power Loss'!$B$63/1000/'Power Loss'!$B$71+'Power Loss'!$B$64*B62*10^(-6)*((A31+0.5*E62)*'Power Loss'!$B$69+(A31-0.5*E62)*'Power Loss'!$B$70)+0.5*'Power Loss'!$B$65*Vin* B62*10^(-6)*'Power Loss'!$B$71+'Power Loss'!$B$68*10^(-9)*'Power Loss'!$B$71*Vin^2*B62*1000/2</f>
        <v>2.0932266204425308E-2</v>
      </c>
      <c r="F31" s="42">
        <f>B62*'Power Loss'!$B$79*'Power Loss'!$B$49*10^(-6)*'Power Loss'!$B$54+B62*'Power Loss'!$B$80*'Power Loss'!$B$66*10^(-6)*'Power Loss'!$B$71+'Power Loss'!$B$80*'Power Loss'!$B$81*0.001</f>
        <v>2.6500000000000003E-2</v>
      </c>
      <c r="G31" s="42">
        <f t="shared" si="1"/>
        <v>5.31686842452003E-3</v>
      </c>
      <c r="H31" s="42">
        <f>(0.5*E61/SQRT(3))^2*'Power Loss'!$B$33/'Power Loss'!$B$31/1000</f>
        <v>4.8148747357612664E-6</v>
      </c>
      <c r="I31" s="19"/>
      <c r="J31" s="19"/>
      <c r="K31" s="19"/>
      <c r="L31" s="19"/>
      <c r="M31" s="19"/>
      <c r="N31" s="41">
        <f>Imin+(Imax-Imin)*0.5</f>
        <v>0.50049999999999994</v>
      </c>
      <c r="O31" s="19">
        <v>95.632876765608799</v>
      </c>
      <c r="P31" s="19"/>
      <c r="Q31" s="19">
        <v>95.843006361037283</v>
      </c>
      <c r="R31" s="19"/>
      <c r="S31" s="19">
        <v>95.711468352958178</v>
      </c>
      <c r="T31" s="19"/>
      <c r="U31" s="19"/>
      <c r="V31" s="45">
        <v>8.9951683800000001E-2</v>
      </c>
      <c r="W31" s="45">
        <v>69.091132674299999</v>
      </c>
      <c r="X31" s="19"/>
      <c r="Y31" s="19"/>
      <c r="Z31" s="19"/>
      <c r="AA31" s="19"/>
      <c r="AB31" s="19"/>
      <c r="AC31" s="19"/>
      <c r="AD31" s="19"/>
    </row>
    <row r="32" spans="1:30" s="33" customFormat="1" ht="12.95" customHeight="1">
      <c r="A32" s="41">
        <f>Imin+(Imax-Imin)*0.55</f>
        <v>0.55044999999999999</v>
      </c>
      <c r="B32" s="64">
        <f t="shared" si="3"/>
        <v>8.761393693192436E-2</v>
      </c>
      <c r="C32" s="65">
        <f t="shared" si="4"/>
        <v>95.39866677972644</v>
      </c>
      <c r="D32" s="42">
        <f>F63^2*Ron_u/'Power Loss'!$B$54/1000+Vin*(A32-0.5*E63)*'Power Loss'!$B$52*10^(-9)*B63*10^(3)/2+Vin*(A32+0.5*E63)*'Power Loss'!$B$53*10^(-9)*Fs*10^(3)/2+Vin*B63*10^3*'Power Loss'!$B$48*10^(-9)*'Power Loss'!$B$54+0.5*'Power Loss'!$B$51*10^(-9)*Vin^2*B63*10^3*'Power Loss'!$B$54</f>
        <v>3.1974064750244988E-2</v>
      </c>
      <c r="E32" s="42">
        <f>G63^2*'Power Loss'!$B$63/1000/'Power Loss'!$B$71+'Power Loss'!$B$64*B63*10^(-6)*((A32+0.5*E63)*'Power Loss'!$B$69+(A32-0.5*E63)*'Power Loss'!$B$70)+0.5*'Power Loss'!$B$65*Vin* B63*10^(-6)*'Power Loss'!$B$71+'Power Loss'!$B$68*10^(-9)*'Power Loss'!$B$71*Vin^2*B63*1000/2</f>
        <v>2.2767228240712076E-2</v>
      </c>
      <c r="F32" s="42">
        <f>B63*'Power Loss'!$B$79*'Power Loss'!$B$49*10^(-6)*'Power Loss'!$B$54+B63*'Power Loss'!$B$80*'Power Loss'!$B$66*10^(-6)*'Power Loss'!$B$71+'Power Loss'!$B$80*'Power Loss'!$B$81*0.001</f>
        <v>2.6500000000000003E-2</v>
      </c>
      <c r="G32" s="42">
        <f t="shared" si="1"/>
        <v>6.3678136483780803E-3</v>
      </c>
      <c r="H32" s="42">
        <f>(0.5*E62/SQRT(3))^2*'Power Loss'!$B$33/'Power Loss'!$B$31/1000</f>
        <v>4.8302925892227505E-6</v>
      </c>
      <c r="I32" s="19"/>
      <c r="J32" s="19"/>
      <c r="K32" s="19"/>
      <c r="L32" s="19"/>
      <c r="M32" s="19"/>
      <c r="N32" s="41">
        <f>Imin+(Imax-Imin)*0.55</f>
        <v>0.55044999999999999</v>
      </c>
      <c r="O32" s="19">
        <v>95.580764508943659</v>
      </c>
      <c r="P32" s="19"/>
      <c r="Q32" s="19">
        <v>95.801186728731778</v>
      </c>
      <c r="R32" s="19"/>
      <c r="S32" s="19">
        <v>95.698304933519239</v>
      </c>
      <c r="T32" s="19"/>
      <c r="U32" s="19"/>
      <c r="V32" s="45">
        <v>9.9476618200000005E-2</v>
      </c>
      <c r="W32" s="45">
        <v>71.211654140799993</v>
      </c>
      <c r="X32" s="19"/>
      <c r="Y32" s="19"/>
      <c r="Z32" s="19"/>
      <c r="AA32" s="19"/>
      <c r="AB32" s="19"/>
      <c r="AC32" s="19"/>
      <c r="AD32" s="19"/>
    </row>
    <row r="33" spans="1:30" s="33" customFormat="1" ht="12.95" customHeight="1">
      <c r="A33" s="41">
        <f>Imin+(Imax-Imin)*0.6</f>
        <v>0.60039999999999993</v>
      </c>
      <c r="B33" s="64">
        <f t="shared" si="3"/>
        <v>9.5242883170577594E-2</v>
      </c>
      <c r="C33" s="65">
        <f t="shared" si="4"/>
        <v>95.41343611876772</v>
      </c>
      <c r="D33" s="42">
        <f>F64^2*Ron_u/'Power Loss'!$B$54/1000+Vin*(A33-0.5*E64)*'Power Loss'!$B$52*10^(-9)*B64*10^(3)/2+Vin*(A33+0.5*E64)*'Power Loss'!$B$53*10^(-9)*Fs*10^(3)/2+Vin*B64*10^3*'Power Loss'!$B$48*10^(-9)*'Power Loss'!$B$54+0.5*'Power Loss'!$B$51*10^(-9)*Vin^2*B64*10^3*'Power Loss'!$B$54</f>
        <v>3.653346886782436E-2</v>
      </c>
      <c r="E33" s="42">
        <f>G64^2*'Power Loss'!$B$63/1000/'Power Loss'!$B$71+'Power Loss'!$B$64*B64*10^(-6)*((A33+0.5*E64)*'Power Loss'!$B$69+(A33-0.5*E64)*'Power Loss'!$B$70)+0.5*'Power Loss'!$B$65*Vin* B64*10^(-6)*'Power Loss'!$B$71+'Power Loss'!$B$68*10^(-9)*'Power Loss'!$B$71*Vin^2*B64*1000/2</f>
        <v>2.4686006687571455E-2</v>
      </c>
      <c r="F33" s="42">
        <f>B64*'Power Loss'!$B$79*'Power Loss'!$B$49*10^(-6)*'Power Loss'!$B$54+B64*'Power Loss'!$B$80*'Power Loss'!$B$66*10^(-6)*'Power Loss'!$B$71+'Power Loss'!$B$80*'Power Loss'!$B$81*0.001</f>
        <v>2.6500000000000003E-2</v>
      </c>
      <c r="G33" s="42">
        <f t="shared" si="1"/>
        <v>7.5185618655137648E-3</v>
      </c>
      <c r="H33" s="42">
        <f>(0.5*E63/SQRT(3))^2*'Power Loss'!$B$33/'Power Loss'!$B$31/1000</f>
        <v>4.8457496680057262E-6</v>
      </c>
      <c r="I33" s="19"/>
      <c r="J33" s="19"/>
      <c r="K33" s="19"/>
      <c r="L33" s="19"/>
      <c r="M33" s="19"/>
      <c r="N33" s="41">
        <f>Imin+(Imax-Imin)*0.6</f>
        <v>0.60039999999999993</v>
      </c>
      <c r="O33" s="19">
        <v>95.508055460372063</v>
      </c>
      <c r="P33" s="19"/>
      <c r="Q33" s="19">
        <v>95.738604396396155</v>
      </c>
      <c r="R33" s="19"/>
      <c r="S33" s="19">
        <v>95.661943800549182</v>
      </c>
      <c r="T33" s="19"/>
      <c r="U33" s="19"/>
      <c r="V33" s="45">
        <v>0.20017973929999999</v>
      </c>
      <c r="W33" s="45">
        <v>83.559651694600007</v>
      </c>
      <c r="X33" s="19"/>
      <c r="Y33" s="19"/>
      <c r="Z33" s="19"/>
      <c r="AA33" s="19"/>
      <c r="AB33" s="19"/>
      <c r="AC33" s="19"/>
      <c r="AD33" s="19"/>
    </row>
    <row r="34" spans="1:30" s="33" customFormat="1" ht="12.95" customHeight="1">
      <c r="A34" s="41">
        <f>Imin+(Imax-Imin)*0.65</f>
        <v>0.65034999999999998</v>
      </c>
      <c r="B34" s="64">
        <f t="shared" si="3"/>
        <v>0.10341184173173239</v>
      </c>
      <c r="C34" s="65">
        <f t="shared" si="4"/>
        <v>95.403033161169589</v>
      </c>
      <c r="D34" s="42">
        <f>F65^2*Ron_u/'Power Loss'!$B$54/1000+Vin*(A34-0.5*E65)*'Power Loss'!$B$52*10^(-9)*B65*10^(3)/2+Vin*(A34+0.5*E65)*'Power Loss'!$B$53*10^(-9)*Fs*10^(3)/2+Vin*B65*10^3*'Power Loss'!$B$48*10^(-9)*'Power Loss'!$B$54+0.5*'Power Loss'!$B$51*10^(-9)*Vin^2*B65*10^3*'Power Loss'!$B$54</f>
        <v>4.1450166462652441E-2</v>
      </c>
      <c r="E34" s="42">
        <f>G65^2*'Power Loss'!$B$63/1000/'Power Loss'!$B$71+'Power Loss'!$B$64*B65*10^(-6)*((A34+0.5*E65)*'Power Loss'!$B$69+(A34-0.5*E65)*'Power Loss'!$B$70)+0.5*'Power Loss'!$B$65*Vin* B65*10^(-6)*'Power Loss'!$B$71+'Power Loss'!$B$68*10^(-9)*'Power Loss'!$B$71*Vin^2*B65*1000/2</f>
        <v>2.6687700939822492E-2</v>
      </c>
      <c r="F34" s="42">
        <f>B65*'Power Loss'!$B$79*'Power Loss'!$B$49*10^(-6)*'Power Loss'!$B$54+B65*'Power Loss'!$B$80*'Power Loss'!$B$66*10^(-6)*'Power Loss'!$B$71+'Power Loss'!$B$80*'Power Loss'!$B$81*0.001</f>
        <v>2.6500000000000003E-2</v>
      </c>
      <c r="G34" s="42">
        <f t="shared" si="1"/>
        <v>8.7691130831948679E-3</v>
      </c>
      <c r="H34" s="42">
        <f>(0.5*E64/SQRT(3))^2*'Power Loss'!$B$33/'Power Loss'!$B$31/1000</f>
        <v>4.8612460626004775E-6</v>
      </c>
      <c r="I34" s="19"/>
      <c r="J34" s="19"/>
      <c r="K34" s="19"/>
      <c r="L34" s="19"/>
      <c r="M34" s="19"/>
      <c r="N34" s="41">
        <f>Imin+(Imax-Imin)*0.65</f>
        <v>0.65034999999999998</v>
      </c>
      <c r="O34" s="19">
        <v>95.41956683009758</v>
      </c>
      <c r="P34" s="19"/>
      <c r="Q34" s="19">
        <v>95.660097147509546</v>
      </c>
      <c r="R34" s="19"/>
      <c r="S34" s="19">
        <v>95.607752440312666</v>
      </c>
      <c r="T34" s="19"/>
      <c r="U34" s="19"/>
      <c r="V34" s="45">
        <v>0.29925486000000001</v>
      </c>
      <c r="W34" s="45">
        <v>88.420735776200004</v>
      </c>
      <c r="X34" s="19"/>
      <c r="Y34" s="19"/>
      <c r="Z34" s="19"/>
      <c r="AA34" s="19"/>
      <c r="AB34" s="19"/>
      <c r="AC34" s="19"/>
      <c r="AD34" s="19"/>
    </row>
    <row r="35" spans="1:30" s="33" customFormat="1" ht="12.95" customHeight="1">
      <c r="A35" s="41">
        <f>Imin+(Imax-Imin)*0.7</f>
        <v>0.70029999999999992</v>
      </c>
      <c r="B35" s="64">
        <f t="shared" si="3"/>
        <v>0.11212157786035973</v>
      </c>
      <c r="C35" s="65">
        <f t="shared" si="4"/>
        <v>95.372826456495048</v>
      </c>
      <c r="D35" s="42">
        <f>F66^2*Ron_u/'Power Loss'!$B$54/1000+Vin*(A35-0.5*E66)*'Power Loss'!$B$52*10^(-9)*B66*10^(3)/2+Vin*(A35+0.5*E66)*'Power Loss'!$B$53*10^(-9)*Fs*10^(3)/2+Vin*B66*10^3*'Power Loss'!$B$48*10^(-9)*'Power Loss'!$B$54+0.5*'Power Loss'!$B$51*10^(-9)*Vin^2*B66*10^3*'Power Loss'!$B$54</f>
        <v>4.6725825079144606E-2</v>
      </c>
      <c r="E35" s="42">
        <f>G66^2*'Power Loss'!$B$63/1000/'Power Loss'!$B$71+'Power Loss'!$B$64*B66*10^(-6)*((A35+0.5*E66)*'Power Loss'!$B$69+(A35-0.5*E66)*'Power Loss'!$B$70)+0.5*'Power Loss'!$B$65*Vin* B66*10^(-6)*'Power Loss'!$B$71+'Power Loss'!$B$68*10^(-9)*'Power Loss'!$B$71*Vin^2*B66*1000/2</f>
        <v>2.8771408690642167E-2</v>
      </c>
      <c r="F35" s="42">
        <f>B66*'Power Loss'!$B$79*'Power Loss'!$B$49*10^(-6)*'Power Loss'!$B$54+B66*'Power Loss'!$B$80*'Power Loss'!$B$66*10^(-6)*'Power Loss'!$B$71+'Power Loss'!$B$80*'Power Loss'!$B$81*0.001</f>
        <v>2.6500000000000003E-2</v>
      </c>
      <c r="G35" s="42">
        <f t="shared" si="1"/>
        <v>1.0119467308709221E-2</v>
      </c>
      <c r="H35" s="42">
        <f>(0.5*E65/SQRT(3))^2*'Power Loss'!$B$33/'Power Loss'!$B$31/1000</f>
        <v>4.8767818637342137E-6</v>
      </c>
      <c r="I35" s="19"/>
      <c r="J35" s="19"/>
      <c r="K35" s="19"/>
      <c r="L35" s="19"/>
      <c r="M35" s="19"/>
      <c r="N35" s="41">
        <f>Imin+(Imax-Imin)*0.7</f>
        <v>0.70029999999999992</v>
      </c>
      <c r="O35" s="19">
        <v>95.318753773174166</v>
      </c>
      <c r="P35" s="19"/>
      <c r="Q35" s="19">
        <v>95.569135088680824</v>
      </c>
      <c r="R35" s="19"/>
      <c r="S35" s="19">
        <v>95.53958295719012</v>
      </c>
      <c r="T35" s="19"/>
      <c r="U35" s="19"/>
      <c r="V35" s="45">
        <v>0.39942549150000001</v>
      </c>
      <c r="W35" s="45">
        <v>90.945231222800004</v>
      </c>
      <c r="X35" s="19"/>
      <c r="Y35" s="19"/>
      <c r="Z35" s="19"/>
      <c r="AA35" s="19"/>
      <c r="AB35" s="19"/>
      <c r="AC35" s="19"/>
      <c r="AD35" s="19"/>
    </row>
    <row r="36" spans="1:30" s="33" customFormat="1" ht="12.95" customHeight="1">
      <c r="A36" s="41">
        <f>Imin+(Imax-Imin)*0.75</f>
        <v>0.75024999999999997</v>
      </c>
      <c r="B36" s="64">
        <f t="shared" si="3"/>
        <v>0.12137285824800961</v>
      </c>
      <c r="C36" s="65">
        <f t="shared" si="4"/>
        <v>95.326776592604929</v>
      </c>
      <c r="D36" s="42">
        <f>F67^2*Ron_u/'Power Loss'!$B$54/1000+Vin*(A36-0.5*E67)*'Power Loss'!$B$52*10^(-9)*B67*10^(3)/2+Vin*(A36+0.5*E67)*'Power Loss'!$B$53*10^(-9)*Fs*10^(3)/2+Vin*B67*10^3*'Power Loss'!$B$48*10^(-9)*'Power Loss'!$B$54+0.5*'Power Loss'!$B$51*10^(-9)*Vin^2*B67*10^3*'Power Loss'!$B$54</f>
        <v>5.2362115413937843E-2</v>
      </c>
      <c r="E36" s="42">
        <f>G67^2*'Power Loss'!$B$63/1000/'Power Loss'!$B$71+'Power Loss'!$B$64*B67*10^(-6)*((A36+0.5*E67)*'Power Loss'!$B$69+(A36-0.5*E67)*'Power Loss'!$B$70)+0.5*'Power Loss'!$B$65*Vin* B67*10^(-6)*'Power Loss'!$B$71+'Power Loss'!$B$68*10^(-9)*'Power Loss'!$B$71*Vin^2*B67*1000/2</f>
        <v>3.0936225927544601E-2</v>
      </c>
      <c r="F36" s="42">
        <f>B67*'Power Loss'!$B$79*'Power Loss'!$B$49*10^(-6)*'Power Loss'!$B$54+B67*'Power Loss'!$B$80*'Power Loss'!$B$66*10^(-6)*'Power Loss'!$B$71+'Power Loss'!$B$80*'Power Loss'!$B$81*0.001</f>
        <v>2.6500000000000003E-2</v>
      </c>
      <c r="G36" s="42">
        <f t="shared" si="1"/>
        <v>1.1569624549364794E-2</v>
      </c>
      <c r="H36" s="42">
        <f>(0.5*E66/SQRT(3))^2*'Power Loss'!$B$33/'Power Loss'!$B$31/1000</f>
        <v>4.8923571623718206E-6</v>
      </c>
      <c r="I36" s="19"/>
      <c r="J36" s="19"/>
      <c r="K36" s="19"/>
      <c r="L36" s="19"/>
      <c r="M36" s="19"/>
      <c r="N36" s="41">
        <f>Imin+(Imax-Imin)*0.75</f>
        <v>0.75024999999999997</v>
      </c>
      <c r="O36" s="19">
        <v>95.208158806948092</v>
      </c>
      <c r="P36" s="19"/>
      <c r="Q36" s="19">
        <v>95.468271906802883</v>
      </c>
      <c r="R36" s="19"/>
      <c r="S36" s="19">
        <v>95.460271493576315</v>
      </c>
      <c r="T36" s="19"/>
      <c r="U36" s="19"/>
      <c r="V36" s="45">
        <v>0.49959511220000002</v>
      </c>
      <c r="W36" s="45">
        <v>92.155649053999994</v>
      </c>
      <c r="X36" s="19"/>
      <c r="Y36" s="19"/>
      <c r="Z36" s="19"/>
      <c r="AA36" s="19"/>
      <c r="AB36" s="19"/>
      <c r="AC36" s="19"/>
      <c r="AD36" s="19"/>
    </row>
    <row r="37" spans="1:30" s="33" customFormat="1" ht="12.95" customHeight="1">
      <c r="A37" s="41">
        <f>Imin+(Imax-Imin)*0.8</f>
        <v>0.80020000000000002</v>
      </c>
      <c r="B37" s="64">
        <f t="shared" si="3"/>
        <v>0.13116645103623101</v>
      </c>
      <c r="C37" s="65">
        <f t="shared" si="4"/>
        <v>95.267869278497031</v>
      </c>
      <c r="D37" s="42">
        <f>F68^2*Ron_u/'Power Loss'!$B$54/1000+Vin*(A37-0.5*E68)*'Power Loss'!$B$52*10^(-9)*B68*10^(3)/2+Vin*(A37+0.5*E68)*'Power Loss'!$B$53*10^(-9)*Fs*10^(3)/2+Vin*B68*10^3*'Power Loss'!$B$48*10^(-9)*'Power Loss'!$B$54+0.5*'Power Loss'!$B$51*10^(-9)*Vin^2*B68*10^3*'Power Loss'!$B$54</f>
        <v>5.8360711323342786E-2</v>
      </c>
      <c r="E37" s="42">
        <f>G68^2*'Power Loss'!$B$63/1000/'Power Loss'!$B$71+'Power Loss'!$B$64*B68*10^(-6)*((A37+0.5*E68)*'Power Loss'!$B$69+(A37-0.5*E68)*'Power Loss'!$B$70)+0.5*'Power Loss'!$B$65*Vin* B68*10^(-6)*'Power Loss'!$B$71+'Power Loss'!$B$68*10^(-9)*'Power Loss'!$B$71*Vin^2*B68*1000/2</f>
        <v>3.3181246928348777E-2</v>
      </c>
      <c r="F37" s="42">
        <f>B68*'Power Loss'!$B$79*'Power Loss'!$B$49*10^(-6)*'Power Loss'!$B$54+B68*'Power Loss'!$B$80*'Power Loss'!$B$66*10^(-6)*'Power Loss'!$B$71+'Power Loss'!$B$80*'Power Loss'!$B$81*0.001</f>
        <v>2.6500000000000003E-2</v>
      </c>
      <c r="G37" s="42">
        <f t="shared" si="1"/>
        <v>1.3119584812489732E-2</v>
      </c>
      <c r="H37" s="42">
        <f>(0.5*E67/SQRT(3))^2*'Power Loss'!$B$33/'Power Loss'!$B$31/1000</f>
        <v>4.9079720497165645E-6</v>
      </c>
      <c r="I37" s="19"/>
      <c r="J37" s="19"/>
      <c r="K37" s="19"/>
      <c r="L37" s="19"/>
      <c r="M37" s="19"/>
      <c r="N37" s="41">
        <f>Imin+(Imax-Imin)*0.8</f>
        <v>0.80020000000000002</v>
      </c>
      <c r="O37" s="19">
        <v>95.089694300640787</v>
      </c>
      <c r="P37" s="19"/>
      <c r="Q37" s="19">
        <v>95.359428519854532</v>
      </c>
      <c r="R37" s="19"/>
      <c r="S37" s="19">
        <v>95.37195235325882</v>
      </c>
      <c r="T37" s="19"/>
      <c r="U37" s="19"/>
      <c r="V37" s="45">
        <v>0.59873641379999998</v>
      </c>
      <c r="W37" s="45">
        <v>93.043444766700006</v>
      </c>
      <c r="X37" s="19"/>
      <c r="Y37" s="19"/>
      <c r="Z37" s="19"/>
      <c r="AA37" s="19"/>
      <c r="AB37" s="19"/>
      <c r="AC37" s="19"/>
      <c r="AD37" s="19"/>
    </row>
    <row r="38" spans="1:30" s="33" customFormat="1" ht="12.95" customHeight="1">
      <c r="A38" s="41">
        <f>Imin+(Imax-Imin)*0.85</f>
        <v>0.85014999999999996</v>
      </c>
      <c r="B38" s="64">
        <f t="shared" si="3"/>
        <v>0.14150312582000116</v>
      </c>
      <c r="C38" s="65">
        <f t="shared" si="4"/>
        <v>95.198397834724517</v>
      </c>
      <c r="D38" s="42">
        <f>F69^2*Ron_u/'Power Loss'!$B$54/1000+Vin*(A38-0.5*E69)*'Power Loss'!$B$52*10^(-9)*B69*10^(3)/2+Vin*(A38+0.5*E69)*'Power Loss'!$B$53*10^(-9)*Fs*10^(3)/2+Vin*B69*10^3*'Power Loss'!$B$48*10^(-9)*'Power Loss'!$B$54+0.5*'Power Loss'!$B$51*10^(-9)*Vin^2*B69*10^3*'Power Loss'!$B$54</f>
        <v>6.4723289830816738E-2</v>
      </c>
      <c r="E38" s="42">
        <f>G69^2*'Power Loss'!$B$63/1000/'Power Loss'!$B$71+'Power Loss'!$B$64*B69*10^(-6)*((A38+0.5*E69)*'Power Loss'!$B$69+(A38-0.5*E69)*'Power Loss'!$B$70)+0.5*'Power Loss'!$B$65*Vin* B69*10^(-6)*'Power Loss'!$B$71+'Power Loss'!$B$68*10^(-9)*'Power Loss'!$B$71*Vin^2*B69*1000/2</f>
        <v>3.5505564257134803E-2</v>
      </c>
      <c r="F38" s="42">
        <f>B69*'Power Loss'!$B$79*'Power Loss'!$B$49*10^(-6)*'Power Loss'!$B$54+B69*'Power Loss'!$B$80*'Power Loss'!$B$66*10^(-6)*'Power Loss'!$B$71+'Power Loss'!$B$80*'Power Loss'!$B$81*0.001</f>
        <v>2.6500000000000003E-2</v>
      </c>
      <c r="G38" s="42">
        <f t="shared" si="1"/>
        <v>1.4769348105432401E-2</v>
      </c>
      <c r="H38" s="42">
        <f>(0.5*E68/SQRT(3))^2*'Power Loss'!$B$33/'Power Loss'!$B$31/1000</f>
        <v>4.923626617210791E-6</v>
      </c>
      <c r="I38" s="19"/>
      <c r="J38" s="19"/>
      <c r="K38" s="19"/>
      <c r="L38" s="19"/>
      <c r="M38" s="19"/>
      <c r="N38" s="41">
        <f>Imin+(Imax-Imin)*0.85</f>
        <v>0.85014999999999996</v>
      </c>
      <c r="O38" s="19">
        <v>94.964826156132148</v>
      </c>
      <c r="P38" s="19"/>
      <c r="Q38" s="19">
        <v>95.244077515433517</v>
      </c>
      <c r="R38" s="19"/>
      <c r="S38" s="19">
        <v>95.276262364885937</v>
      </c>
      <c r="T38" s="19"/>
      <c r="U38" s="19"/>
      <c r="V38" s="45">
        <v>0.69894468430000001</v>
      </c>
      <c r="W38" s="45">
        <v>93.624532106399997</v>
      </c>
      <c r="X38" s="19"/>
      <c r="Y38" s="19"/>
      <c r="Z38" s="19"/>
      <c r="AA38" s="19"/>
      <c r="AB38" s="19"/>
      <c r="AC38" s="19"/>
      <c r="AD38" s="19"/>
    </row>
    <row r="39" spans="1:30" s="33" customFormat="1" ht="12.95" customHeight="1">
      <c r="A39" s="41">
        <f>Imin+(Imax-Imin)*0.9</f>
        <v>0.90010000000000001</v>
      </c>
      <c r="B39" s="64">
        <f>SUM(D39:H39)</f>
        <v>0.15238365365116502</v>
      </c>
      <c r="C39" s="65">
        <f>Vout*A39/(Vout*A39+B39)*100</f>
        <v>95.120152836524284</v>
      </c>
      <c r="D39" s="42">
        <f>F70^2*Ron_u/'Power Loss'!$B$54/1000+Vin*(A39-0.5*E70)*'Power Loss'!$B$52*10^(-9)*B70*10^(3)/2+Vin*(A39+0.5*E70)*'Power Loss'!$B$53*10^(-9)*Fs*10^(3)/2+Vin*B70*10^3*'Power Loss'!$B$48*10^(-9)*'Power Loss'!$B$54+0.5*'Power Loss'!$B$51*10^(-9)*Vin^2*B70*10^3*'Power Loss'!$B$54</f>
        <v>7.1451531134458179E-2</v>
      </c>
      <c r="E39" s="42">
        <f>G70^2*'Power Loss'!$B$63/1000/'Power Loss'!$B$71+'Power Loss'!$B$64*B70*10^(-6)*((A39+0.5*E70)*'Power Loss'!$B$69+(A39-0.5*E70)*'Power Loss'!$B$70)+0.5*'Power Loss'!$B$65*Vin* B70*10^(-6)*'Power Loss'!$B$71+'Power Loss'!$B$68*10^(-9)*'Power Loss'!$B$71*Vin^2*B70*1000/2</f>
        <v>3.7908268760188775E-2</v>
      </c>
      <c r="F39" s="42">
        <f>B70*'Power Loss'!$B$79*'Power Loss'!$B$49*10^(-6)*'Power Loss'!$B$54+B70*'Power Loss'!$B$80*'Power Loss'!$B$66*10^(-6)*'Power Loss'!$B$71+'Power Loss'!$B$80*'Power Loss'!$B$81*0.001</f>
        <v>2.6500000000000003E-2</v>
      </c>
      <c r="G39" s="42">
        <f t="shared" si="1"/>
        <v>1.6518914435561537E-2</v>
      </c>
      <c r="H39" s="42">
        <f>(0.5*E69/SQRT(3))^2*'Power Loss'!$B$33/'Power Loss'!$B$31/1000</f>
        <v>4.9393209565366874E-6</v>
      </c>
      <c r="I39" s="19"/>
      <c r="J39" s="19"/>
      <c r="K39" s="19"/>
      <c r="L39" s="19"/>
      <c r="M39" s="19"/>
      <c r="N39" s="41">
        <f>Imin+(Imax-Imin)*0.9</f>
        <v>0.90010000000000001</v>
      </c>
      <c r="O39" s="19">
        <v>94.834696780221392</v>
      </c>
      <c r="P39" s="19"/>
      <c r="Q39" s="19">
        <v>95.123366631894029</v>
      </c>
      <c r="R39" s="19"/>
      <c r="S39" s="19">
        <v>95.174477767122795</v>
      </c>
      <c r="T39" s="19"/>
      <c r="U39" s="19"/>
      <c r="V39" s="45">
        <v>0.79912796549999998</v>
      </c>
      <c r="W39" s="45">
        <v>93.957266302199997</v>
      </c>
      <c r="X39" s="19"/>
      <c r="Y39" s="19"/>
      <c r="Z39" s="19"/>
      <c r="AA39" s="19"/>
      <c r="AB39" s="19"/>
      <c r="AC39" s="19"/>
      <c r="AD39" s="19"/>
    </row>
    <row r="40" spans="1:30" s="33" customFormat="1" ht="12.95" customHeight="1">
      <c r="A40" s="41">
        <f>Imin+(Imax-Imin)*0.95</f>
        <v>0.95004999999999995</v>
      </c>
      <c r="B40" s="64">
        <f>SUM(D40:H40)</f>
        <v>0.16380880704188419</v>
      </c>
      <c r="C40" s="65">
        <f>Vout*A40/(Vout*A40+B40)*100</f>
        <v>95.034552663248689</v>
      </c>
      <c r="D40" s="42">
        <f>F71^2*Ron_u/'Power Loss'!$B$54/1000+Vin*(A40-0.5*E71)*'Power Loss'!$B$52*10^(-9)*B71*10^(3)/2+Vin*(A40+0.5*E71)*'Power Loss'!$B$53*10^(-9)*Fs*10^(3)/2+Vin*B71*10^3*'Power Loss'!$B$48*10^(-9)*'Power Loss'!$B$54+0.5*'Power Loss'!$B$51*10^(-9)*Vin^2*B71*10^3*'Power Loss'!$B$54</f>
        <v>7.8547118614522307E-2</v>
      </c>
      <c r="E40" s="42">
        <f>G71^2*'Power Loss'!$B$63/1000/'Power Loss'!$B$71+'Power Loss'!$B$64*B71*10^(-6)*((A40+0.5*E71)*'Power Loss'!$B$69+(A40-0.5*E71)*'Power Loss'!$B$70)+0.5*'Power Loss'!$B$65*Vin* B71*10^(-6)*'Power Loss'!$B$71+'Power Loss'!$B$68*10^(-9)*'Power Loss'!$B$71*Vin^2*B71*1000/2</f>
        <v>4.0388449561936053E-2</v>
      </c>
      <c r="F40" s="42">
        <f>B71*'Power Loss'!$B$79*'Power Loss'!$B$49*10^(-6)*'Power Loss'!$B$54+B71*'Power Loss'!$B$80*'Power Loss'!$B$66*10^(-6)*'Power Loss'!$B$71+'Power Loss'!$B$80*'Power Loss'!$B$81*0.001</f>
        <v>2.6500000000000003E-2</v>
      </c>
      <c r="G40" s="42">
        <f t="shared" si="1"/>
        <v>1.8368283810266204E-2</v>
      </c>
      <c r="H40" s="42">
        <f>(0.5*E70/SQRT(3))^2*'Power Loss'!$B$33/'Power Loss'!$B$31/1000</f>
        <v>4.9550551596169744E-6</v>
      </c>
      <c r="I40" s="19"/>
      <c r="J40" s="19"/>
      <c r="K40" s="19"/>
      <c r="L40" s="19"/>
      <c r="M40" s="19"/>
      <c r="N40" s="41">
        <f>Imin+(Imax-Imin)*0.95</f>
        <v>0.95004999999999995</v>
      </c>
      <c r="O40" s="19">
        <v>94.700209535164319</v>
      </c>
      <c r="P40" s="19"/>
      <c r="Q40" s="19">
        <v>94.998203559302183</v>
      </c>
      <c r="R40" s="19"/>
      <c r="S40" s="19">
        <v>95.067608253557012</v>
      </c>
      <c r="T40" s="19"/>
      <c r="U40" s="19"/>
      <c r="V40" s="45">
        <v>0.89821593619999995</v>
      </c>
      <c r="W40" s="45">
        <v>94.1187666342</v>
      </c>
      <c r="X40" s="19"/>
      <c r="Y40" s="19"/>
      <c r="Z40" s="19"/>
      <c r="AA40" s="19"/>
      <c r="AB40" s="19"/>
      <c r="AC40" s="19"/>
      <c r="AD40" s="19"/>
    </row>
    <row r="41" spans="1:30" s="33" customFormat="1" ht="12.95" customHeight="1">
      <c r="A41" s="41">
        <f>Imin+(Imax-Imin)*1</f>
        <v>1</v>
      </c>
      <c r="B41" s="64">
        <f>SUM(D41:H41)</f>
        <v>0.17468520258824022</v>
      </c>
      <c r="C41" s="65">
        <f>Vout*A41/(Vout*A41+B41)*100</f>
        <v>94.972632270165946</v>
      </c>
      <c r="D41" s="42">
        <f>F72^2*Ron_u/'Power Loss'!$B$54/1000+Vin*(A41-0.5*E72)*'Power Loss'!$B$52*10^(-9)*B72*10^(3)/2+Vin*(A41+0.5*E72)*'Power Loss'!$B$53*10^(-9)*Fs*10^(3)/2+Vin*B72*10^3*'Power Loss'!$B$48*10^(-9)*'Power Loss'!$B$54+0.5*'Power Loss'!$B$51*10^(-9)*Vin^2*B72*10^3*'Power Loss'!$B$54</f>
        <v>8.3690865136526724E-2</v>
      </c>
      <c r="E41" s="42">
        <f>G72^2*'Power Loss'!$B$63/1000/'Power Loss'!$B$71+'Power Loss'!$B$64*B72*10^(-6)*((A41+0.5*E72)*'Power Loss'!$B$69+(A41-0.5*E72)*'Power Loss'!$B$70)+0.5*'Power Loss'!$B$65*Vin* B72*10^(-6)*'Power Loss'!$B$71+'Power Loss'!$B$68*10^(-9)*'Power Loss'!$B$71*Vin^2*B72*1000/2</f>
        <v>4.4193842500747385E-2</v>
      </c>
      <c r="F41" s="42">
        <f>B72*'Power Loss'!$B$79*'Power Loss'!$B$49*10^(-6)*'Power Loss'!$B$54+B72*'Power Loss'!$B$80*'Power Loss'!$B$66*10^(-6)*'Power Loss'!$B$71+'Power Loss'!$B$80*'Power Loss'!$B$81*0.001</f>
        <v>2.6500000000000003E-2</v>
      </c>
      <c r="G41" s="42">
        <f t="shared" si="1"/>
        <v>2.0295524121647514E-2</v>
      </c>
      <c r="H41" s="42">
        <f>(0.5*E71/SQRT(3))^2*'Power Loss'!$B$33/'Power Loss'!$B$31/1000</f>
        <v>4.9708293186156614E-6</v>
      </c>
      <c r="I41" s="19"/>
      <c r="J41" s="19"/>
      <c r="K41" s="19"/>
      <c r="L41" s="19"/>
      <c r="M41" s="19"/>
      <c r="N41" s="41">
        <f>Imin+(Imax-Imin)*1</f>
        <v>1</v>
      </c>
      <c r="O41" s="19">
        <v>94.603108746444036</v>
      </c>
      <c r="P41" s="19"/>
      <c r="Q41" s="19">
        <v>94.907057886483997</v>
      </c>
      <c r="R41" s="19"/>
      <c r="S41" s="19">
        <v>94.994117004779412</v>
      </c>
      <c r="T41" s="19"/>
      <c r="U41" s="19"/>
      <c r="V41" s="45">
        <v>0.99832141750000003</v>
      </c>
      <c r="W41" s="45">
        <v>94.3396249571</v>
      </c>
      <c r="X41" s="19"/>
      <c r="Y41" s="19"/>
      <c r="Z41" s="19"/>
      <c r="AA41" s="19"/>
      <c r="AB41" s="19"/>
      <c r="AC41" s="19"/>
      <c r="AD41" s="19"/>
    </row>
    <row r="42" spans="1:30" s="33" customFormat="1" ht="12.9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45">
        <v>1.1974604879999999</v>
      </c>
      <c r="W42" s="45">
        <v>94.716089365499997</v>
      </c>
      <c r="X42" s="19"/>
      <c r="Y42" s="19"/>
      <c r="Z42" s="19"/>
      <c r="AA42" s="19"/>
      <c r="AB42" s="19"/>
      <c r="AC42" s="19"/>
      <c r="AD42" s="19"/>
    </row>
    <row r="43" spans="1:30" s="33" customFormat="1" ht="12.95" customHeight="1">
      <c r="A43" s="19" t="s">
        <v>160</v>
      </c>
      <c r="B43" s="19" t="s">
        <v>161</v>
      </c>
      <c r="C43" s="19" t="s">
        <v>162</v>
      </c>
      <c r="D43" s="19" t="s">
        <v>114</v>
      </c>
      <c r="E43" s="19" t="s">
        <v>115</v>
      </c>
      <c r="F43" s="19" t="s">
        <v>116</v>
      </c>
      <c r="G43" s="19" t="s">
        <v>117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45">
        <v>1.3978296321000001</v>
      </c>
      <c r="W43" s="45">
        <v>94.969237876600005</v>
      </c>
      <c r="X43" s="19"/>
      <c r="Y43" s="19"/>
      <c r="Z43" s="19"/>
      <c r="AA43" s="19"/>
      <c r="AB43" s="19"/>
      <c r="AC43" s="19"/>
      <c r="AD43" s="19"/>
    </row>
    <row r="44" spans="1:30" s="33" customFormat="1" ht="12.95" customHeight="1">
      <c r="A44" s="19">
        <f>IF('Power Loss'!$F$32="VCC (PWM)", 0, IF(A13&gt;$E$9, 0, 2/((Vin-Vout)*Vout/(2*Vin*Lout*0.000001*('Efficiency Summary'!$E$9-'Efficiency Summary'!A13)))))</f>
        <v>2.6310160427807486E-6</v>
      </c>
      <c r="B44" s="66">
        <f>1/(1000/(Fs*1000)+'Efficiency Summary'!A44*1000)</f>
        <v>252.24820143884895</v>
      </c>
      <c r="C44" s="41">
        <f>Imin</f>
        <v>1E-3</v>
      </c>
      <c r="D44" s="19">
        <f t="shared" ref="D44:D53" si="5">Vout/Vin*(1+(Ron_l+DCR)/1000*A13/Vout)/(1-A13*(Ron_u-Ron_l)/1000/Vin)</f>
        <v>0.66002126959802154</v>
      </c>
      <c r="E44" s="19">
        <f t="shared" ref="E44:E54" si="6">(Vin-Vout)/Lout/10^(-6)*D44/Fs/10^3</f>
        <v>0.14960482110888493</v>
      </c>
      <c r="F44" s="19">
        <f>A13*SQRT(D44)*SQRT(1+1/3*(E44/2/A13)^2)</f>
        <v>3.5095410374527097E-2</v>
      </c>
      <c r="G44" s="19">
        <f>A13*SQRT(1-D44)*SQRT(1+1/3*(E44/2/A13)^2)</f>
        <v>2.5188205815989701E-2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45">
        <v>1.5972078258</v>
      </c>
      <c r="W44" s="45">
        <v>95.117931128799995</v>
      </c>
      <c r="X44" s="19"/>
      <c r="Y44" s="19"/>
      <c r="Z44" s="19"/>
      <c r="AA44" s="19"/>
      <c r="AB44" s="19"/>
      <c r="AC44" s="19"/>
      <c r="AD44" s="19"/>
    </row>
    <row r="45" spans="1:30" s="33" customFormat="1" ht="12.95" customHeight="1">
      <c r="A45" s="19">
        <f>IF('Power Loss'!$F$32="VCC (PWM)", 0, IF(A14&gt;$E$9, 0, 2/((Vin-Vout)*Vout/(2*Vin*Lout*0.000001*('Efficiency Summary'!$E$9-'Efficiency Summary'!A14)))))</f>
        <v>2.5954010695187163E-6</v>
      </c>
      <c r="B45" s="66">
        <f>1/(1000/(Fs*1000)+'Efficiency Summary'!A45*1000)</f>
        <v>254.53489532762859</v>
      </c>
      <c r="C45" s="41">
        <f>Imin+(Imax-Imin)*0.001</f>
        <v>1.9989999999999999E-3</v>
      </c>
      <c r="D45" s="19">
        <f t="shared" si="5"/>
        <v>0.66004251832529681</v>
      </c>
      <c r="E45" s="19">
        <f t="shared" si="6"/>
        <v>0.14960963748706729</v>
      </c>
      <c r="F45" s="19">
        <f t="shared" ref="F45:F72" si="7">A14*SQRT(D45)*SQRT(1+1/3*(E45/2/A14)^2)</f>
        <v>3.5125264947324729E-2</v>
      </c>
      <c r="G45" s="19">
        <f t="shared" ref="G45:G72" si="8">A14*SQRT(1-D45)*SQRT(1+1/3*(E45/2/A14)^2)</f>
        <v>2.5208439045907124E-2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45">
        <v>1.7965982491000001</v>
      </c>
      <c r="W45" s="45">
        <v>95.191626256600003</v>
      </c>
      <c r="X45" s="19"/>
      <c r="Y45" s="19"/>
      <c r="Z45" s="19"/>
      <c r="AA45" s="19"/>
      <c r="AB45" s="19"/>
      <c r="AC45" s="19"/>
      <c r="AD45" s="19"/>
    </row>
    <row r="46" spans="1:30" s="33" customFormat="1" ht="12.95" customHeight="1">
      <c r="A46" s="19">
        <f>IF('Power Loss'!$F$32="VCC (PWM)", 0, IF(A15&gt;$E$9, 0, 2/((Vin-Vout)*Vout/(2*Vin*Lout*0.000001*('Efficiency Summary'!$E$9-'Efficiency Summary'!A15)))))</f>
        <v>2.559786096256684E-6</v>
      </c>
      <c r="B46" s="66">
        <f>1/(1000/(Fs*1000)+'Efficiency Summary'!A46*1000)</f>
        <v>256.86342740975442</v>
      </c>
      <c r="C46" s="41">
        <f>Imin+(Imax-Imin)*0.002</f>
        <v>2.9980000000000002E-3</v>
      </c>
      <c r="D46" s="19">
        <f t="shared" si="5"/>
        <v>0.66006376745123585</v>
      </c>
      <c r="E46" s="19">
        <f t="shared" si="6"/>
        <v>0.14961445395561346</v>
      </c>
      <c r="F46" s="19">
        <f t="shared" si="7"/>
        <v>3.5173829357845833E-2</v>
      </c>
      <c r="G46" s="19">
        <f t="shared" si="8"/>
        <v>2.5242097146265567E-2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45">
        <v>1.9969934132</v>
      </c>
      <c r="W46" s="45">
        <v>95.236003482200005</v>
      </c>
      <c r="X46" s="19"/>
      <c r="Y46" s="19"/>
      <c r="Z46" s="19"/>
      <c r="AA46" s="19"/>
      <c r="AB46" s="19"/>
      <c r="AC46" s="19"/>
      <c r="AD46" s="19"/>
    </row>
    <row r="47" spans="1:30" s="33" customFormat="1" ht="12.95" customHeight="1">
      <c r="A47" s="19">
        <f>IF('Power Loss'!$F$32="VCC (PWM)", 0, IF(A16&gt;$E$9, 0, 2/((Vin-Vout)*Vout/(2*Vin*Lout*0.000001*('Efficiency Summary'!$E$9-'Efficiency Summary'!A16)))))</f>
        <v>2.4885561497326202E-6</v>
      </c>
      <c r="B47" s="66">
        <f>1/(1000/(Fs*1000)+'Efficiency Summary'!A47*1000)</f>
        <v>261.65068467594494</v>
      </c>
      <c r="C47" s="41">
        <f>Imin+(Imax-Imin)*0.004</f>
        <v>4.9960000000000004E-3</v>
      </c>
      <c r="D47" s="19">
        <f t="shared" si="5"/>
        <v>0.66010626689914897</v>
      </c>
      <c r="E47" s="19">
        <f t="shared" si="6"/>
        <v>0.14962408716380712</v>
      </c>
      <c r="F47" s="19">
        <f t="shared" si="7"/>
        <v>3.5326756520683393E-2</v>
      </c>
      <c r="G47" s="19">
        <f t="shared" si="8"/>
        <v>2.5349442690032309E-2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45">
        <v>2.1976162116000002</v>
      </c>
      <c r="W47" s="45">
        <v>95.232387663899999</v>
      </c>
      <c r="X47" s="19"/>
      <c r="Y47" s="19"/>
      <c r="Z47" s="19"/>
      <c r="AA47" s="19"/>
      <c r="AB47" s="19"/>
      <c r="AC47" s="19"/>
      <c r="AD47" s="19"/>
    </row>
    <row r="48" spans="1:30" s="33" customFormat="1" ht="12.95" customHeight="1">
      <c r="A48" s="19">
        <f>IF('Power Loss'!$F$32="VCC (PWM)", 0, IF(A17&gt;$E$9, 0, 2/((Vin-Vout)*Vout/(2*Vin*Lout*0.000001*('Efficiency Summary'!$E$9-'Efficiency Summary'!A17)))))</f>
        <v>2.417326203208556E-6</v>
      </c>
      <c r="B48" s="66">
        <f>1/(1000/(Fs*1000)+'Efficiency Summary'!A48*1000)</f>
        <v>266.61977453757396</v>
      </c>
      <c r="C48" s="41">
        <f>Imin+(Imax-Imin)*0.006</f>
        <v>6.9940000000000002E-3</v>
      </c>
      <c r="D48" s="19">
        <f t="shared" si="5"/>
        <v>0.66014876794185051</v>
      </c>
      <c r="E48" s="19">
        <f t="shared" si="6"/>
        <v>0.14963372073348613</v>
      </c>
      <c r="F48" s="19">
        <f t="shared" si="7"/>
        <v>3.5553244734017823E-2</v>
      </c>
      <c r="G48" s="19">
        <f t="shared" si="8"/>
        <v>2.5509547688305732E-2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45">
        <v>2.3918264505</v>
      </c>
      <c r="W48" s="45">
        <v>95.209539789999994</v>
      </c>
      <c r="X48" s="19"/>
      <c r="Y48" s="19"/>
      <c r="Z48" s="19"/>
      <c r="AA48" s="19"/>
      <c r="AB48" s="19"/>
      <c r="AC48" s="19"/>
      <c r="AD48" s="19"/>
    </row>
    <row r="49" spans="1:30" s="33" customFormat="1" ht="12.95" customHeight="1">
      <c r="A49" s="19">
        <f>IF('Power Loss'!$F$32="VCC (PWM)", 0, IF(A18&gt;$E$9, 0, 2/((Vin-Vout)*Vout/(2*Vin*Lout*0.000001*('Efficiency Summary'!$E$9-'Efficiency Summary'!A18)))))</f>
        <v>2.3460962566844914E-6</v>
      </c>
      <c r="B49" s="66">
        <f>1/(1000/(Fs*1000)+'Efficiency Summary'!A49*1000)</f>
        <v>271.78125726687853</v>
      </c>
      <c r="C49" s="41">
        <f>Imin+(Imax-Imin)*0.008</f>
        <v>8.992E-3</v>
      </c>
      <c r="D49" s="19">
        <f t="shared" si="5"/>
        <v>0.6601912705794305</v>
      </c>
      <c r="E49" s="19">
        <f t="shared" si="6"/>
        <v>0.14964335466467094</v>
      </c>
      <c r="F49" s="19">
        <f t="shared" si="7"/>
        <v>3.5851914095866001E-2</v>
      </c>
      <c r="G49" s="19">
        <f t="shared" si="8"/>
        <v>2.5721407153135156E-2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45">
        <v>2.5967972247</v>
      </c>
      <c r="W49" s="45">
        <v>95.155502412999994</v>
      </c>
      <c r="X49" s="19"/>
      <c r="Y49" s="19"/>
      <c r="Z49" s="19"/>
      <c r="AA49" s="19"/>
      <c r="AB49" s="19"/>
      <c r="AC49" s="19"/>
      <c r="AD49" s="19"/>
    </row>
    <row r="50" spans="1:30" s="33" customFormat="1" ht="12.95" customHeight="1">
      <c r="A50" s="19">
        <f>IF('Power Loss'!$F$32="VCC (PWM)", 0, IF(A19&gt;$E$9, 0, 2/((Vin-Vout)*Vout/(2*Vin*Lout*0.000001*('Efficiency Summary'!$E$9-'Efficiency Summary'!A19)))))</f>
        <v>2.2748663101604276E-6</v>
      </c>
      <c r="B50" s="66">
        <f>1/(1000/(Fs*1000)+'Efficiency Summary'!A50*1000)</f>
        <v>277.14652702302146</v>
      </c>
      <c r="C50" s="41">
        <f>Imin+(Imax-Imin)*0.01</f>
        <v>1.099E-2</v>
      </c>
      <c r="D50" s="19">
        <f t="shared" si="5"/>
        <v>0.66023377481197865</v>
      </c>
      <c r="E50" s="19">
        <f t="shared" si="6"/>
        <v>0.14965298895738183</v>
      </c>
      <c r="F50" s="19">
        <f t="shared" si="7"/>
        <v>3.6220993140936457E-2</v>
      </c>
      <c r="G50" s="19">
        <f t="shared" si="8"/>
        <v>2.5983735577101968E-2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45">
        <v>2.7911025662000002</v>
      </c>
      <c r="W50" s="45">
        <v>95.086613785200001</v>
      </c>
      <c r="X50" s="19"/>
      <c r="Y50" s="19"/>
      <c r="Z50" s="19"/>
      <c r="AA50" s="19"/>
      <c r="AB50" s="19"/>
      <c r="AC50" s="19"/>
      <c r="AD50" s="19"/>
    </row>
    <row r="51" spans="1:30" s="33" customFormat="1" ht="12.95" customHeight="1">
      <c r="A51" s="19">
        <f>IF('Power Loss'!$F$32="VCC (PWM)", 0, IF(A20&gt;$E$9, 0, 2/((Vin-Vout)*Vout/(2*Vin*Lout*0.000001*('Efficiency Summary'!$E$9-'Efficiency Summary'!A20)))))</f>
        <v>1.918716577540107E-6</v>
      </c>
      <c r="B51" s="66">
        <f>1/(1000/(Fs*1000)+'Efficiency Summary'!A51*1000)</f>
        <v>307.49835562376671</v>
      </c>
      <c r="C51" s="41">
        <f>Imin+(Imax-Imin)*0.02</f>
        <v>2.0980000000000002E-2</v>
      </c>
      <c r="D51" s="19">
        <f t="shared" si="5"/>
        <v>0.66044631990238345</v>
      </c>
      <c r="E51" s="19">
        <f t="shared" si="6"/>
        <v>0.14970116584454027</v>
      </c>
      <c r="F51" s="19">
        <f t="shared" si="7"/>
        <v>3.9039851218097457E-2</v>
      </c>
      <c r="G51" s="19">
        <f t="shared" si="8"/>
        <v>2.7992624114279815E-2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45">
        <v>2.9959814898000001</v>
      </c>
      <c r="W51" s="45">
        <v>95.012282943599999</v>
      </c>
      <c r="X51" s="19"/>
      <c r="Y51" s="19"/>
      <c r="Z51" s="19"/>
      <c r="AA51" s="19"/>
      <c r="AB51" s="19"/>
      <c r="AC51" s="19"/>
      <c r="AD51" s="19"/>
    </row>
    <row r="52" spans="1:30" s="33" customFormat="1" ht="12.95" customHeight="1">
      <c r="A52" s="19">
        <f>IF('Power Loss'!$F$32="VCC (PWM)", 0, IF(A21&gt;$E$9, 0, 2/((Vin-Vout)*Vout/(2*Vin*Lout*0.000001*('Efficiency Summary'!$E$9-'Efficiency Summary'!A21)))))</f>
        <v>1.2064171122994651E-6</v>
      </c>
      <c r="B52" s="66">
        <f>1/(1000/(Fs*1000)+'Efficiency Summary'!A52*1000)</f>
        <v>393.73947220662552</v>
      </c>
      <c r="C52" s="41">
        <f>Imin+(Imax-Imin)*0.04</f>
        <v>4.0960000000000003E-2</v>
      </c>
      <c r="D52" s="19">
        <f t="shared" si="5"/>
        <v>0.66087152975744123</v>
      </c>
      <c r="E52" s="19">
        <f t="shared" si="6"/>
        <v>0.14979754674502005</v>
      </c>
      <c r="F52" s="19">
        <f t="shared" si="7"/>
        <v>4.8420552723669526E-2</v>
      </c>
      <c r="G52" s="19">
        <f t="shared" si="8"/>
        <v>3.468593026242598E-2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45">
        <v>3.1903799927000001</v>
      </c>
      <c r="W52" s="45">
        <v>94.9265165459</v>
      </c>
      <c r="X52" s="19"/>
      <c r="Y52" s="19"/>
      <c r="Z52" s="19"/>
      <c r="AA52" s="19"/>
      <c r="AB52" s="19"/>
      <c r="AC52" s="19"/>
      <c r="AD52" s="19"/>
    </row>
    <row r="53" spans="1:30" s="33" customFormat="1" ht="12.95" customHeight="1">
      <c r="A53" s="19">
        <f>IF('Power Loss'!$F$32="VCC (PWM)", 0, IF(A22&gt;$E$9, 0, 2/((Vin-Vout)*Vout/(2*Vin*Lout*0.000001*('Efficiency Summary'!$E$9-'Efficiency Summary'!A22)))))</f>
        <v>4.941176470588236E-7</v>
      </c>
      <c r="B53" s="66">
        <f>1/(1000/(Fs*1000)+'Efficiency Summary'!A53*1000)</f>
        <v>547.2103004291846</v>
      </c>
      <c r="C53" s="41">
        <f>Imin+(Imax-Imin)*0.06</f>
        <v>6.0940000000000001E-2</v>
      </c>
      <c r="D53" s="19">
        <f t="shared" si="5"/>
        <v>0.66129689925304724</v>
      </c>
      <c r="E53" s="19">
        <f t="shared" si="6"/>
        <v>0.14989396383069073</v>
      </c>
      <c r="F53" s="19">
        <f t="shared" si="7"/>
        <v>6.077850541477637E-2</v>
      </c>
      <c r="G53" s="19">
        <f t="shared" si="8"/>
        <v>4.3497205798599316E-2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45">
        <v>3.3956306112000001</v>
      </c>
      <c r="W53" s="45">
        <v>94.825207969800005</v>
      </c>
      <c r="X53" s="19"/>
      <c r="Y53" s="19"/>
      <c r="Z53" s="19"/>
      <c r="AA53" s="19"/>
      <c r="AB53" s="19"/>
      <c r="AC53" s="19"/>
      <c r="AD53" s="19"/>
    </row>
    <row r="54" spans="1:30" s="33" customFormat="1" ht="12.95" customHeight="1">
      <c r="A54" s="19">
        <f>IF('Power Loss'!$F$32="VCC (PWM)", 0, IF(A23&gt;$E$9, 0, 2/((Vin-Vout)*Vout/(2*Vin*Lout*0.000001*('Efficiency Summary'!$E$9-'Efficiency Summary'!A23)))))</f>
        <v>0</v>
      </c>
      <c r="B54" s="66">
        <f>1/(1000/(Fs*1000)+'Efficiency Summary'!A54*1000)</f>
        <v>750</v>
      </c>
      <c r="C54" s="41">
        <f>Imin+(Imax-Imin)*0.08</f>
        <v>8.0920000000000006E-2</v>
      </c>
      <c r="D54" s="19">
        <f t="shared" ref="D54:D72" si="9">Vout/Vin*(1+(Ron_l+DCR)/1000*A24/Vout)/(1-A24*(Ron_u-Ron_l)/1000/Vin)</f>
        <v>0.66214811752565139</v>
      </c>
      <c r="E54" s="19">
        <f t="shared" si="6"/>
        <v>0.15008690663914764</v>
      </c>
      <c r="F54" s="19">
        <f t="shared" si="7"/>
        <v>7.4690985808416335E-2</v>
      </c>
      <c r="G54" s="19">
        <f t="shared" si="8"/>
        <v>5.3352378900501075E-2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45">
        <v>3.5898961522000001</v>
      </c>
      <c r="W54" s="45">
        <v>94.727526760399996</v>
      </c>
      <c r="X54" s="19"/>
      <c r="Y54" s="19"/>
      <c r="Z54" s="19"/>
      <c r="AA54" s="19"/>
      <c r="AB54" s="19"/>
      <c r="AC54" s="19"/>
      <c r="AD54" s="19"/>
    </row>
    <row r="55" spans="1:30" s="33" customFormat="1" ht="12.95" customHeight="1">
      <c r="A55" s="19">
        <f>IF('Power Loss'!$F$32="VCC (PWM)", 0, IF(A24&gt;$E$9, 0, 2/((Vin-Vout)*Vout/(2*Vin*Lout*0.000001*('Efficiency Summary'!$E$9-'Efficiency Summary'!A24)))))</f>
        <v>0</v>
      </c>
      <c r="B55" s="66">
        <f>1/(1000/(Fs*1000)+'Efficiency Summary'!A55*1000)</f>
        <v>750</v>
      </c>
      <c r="C55" s="41">
        <f>Imin+(Imax-Imin)*0.1</f>
        <v>0.1009</v>
      </c>
      <c r="D55" s="19">
        <f t="shared" si="9"/>
        <v>0.66321303994762293</v>
      </c>
      <c r="E55" s="19">
        <f t="shared" ref="E55:E71" si="10">(Vin-Vout)/Lout/10^(-6)*D55/Fs/10^3</f>
        <v>0.15032828905479453</v>
      </c>
      <c r="F55" s="19">
        <f t="shared" si="7"/>
        <v>8.9448418069252106E-2</v>
      </c>
      <c r="G55" s="19">
        <f t="shared" si="8"/>
        <v>6.3741718775226899E-2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45">
        <v>3.795030331</v>
      </c>
      <c r="W55" s="45">
        <v>94.614154075299993</v>
      </c>
      <c r="X55" s="19"/>
      <c r="Y55" s="19"/>
      <c r="Z55" s="19"/>
      <c r="AA55" s="19"/>
      <c r="AB55" s="19"/>
      <c r="AC55" s="19"/>
      <c r="AD55" s="19"/>
    </row>
    <row r="56" spans="1:30" s="33" customFormat="1" ht="12.95" customHeight="1">
      <c r="A56" s="19">
        <f>IF('Power Loss'!$F$32="VCC (PWM)", 0, IF(A25&gt;$E$9, 0, 2/((Vin-Vout)*Vout/(2*Vin*Lout*0.000001*('Efficiency Summary'!$E$9-'Efficiency Summary'!A25)))))</f>
        <v>0</v>
      </c>
      <c r="B56" s="66">
        <f>1/(1000/(Fs*1000)+'Efficiency Summary'!A56*1000)</f>
        <v>750</v>
      </c>
      <c r="C56" s="41">
        <f>Imin+(Imax-Imin)*0.15</f>
        <v>0.15084999999999998</v>
      </c>
      <c r="D56" s="19">
        <f t="shared" si="9"/>
        <v>0.6642789632194338</v>
      </c>
      <c r="E56" s="19">
        <f t="shared" si="10"/>
        <v>0.15056989832973836</v>
      </c>
      <c r="F56" s="19">
        <f t="shared" si="7"/>
        <v>0.12794980684383037</v>
      </c>
      <c r="G56" s="19">
        <f t="shared" si="8"/>
        <v>9.0960672558046421E-2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45">
        <v>3.9890127339000001</v>
      </c>
      <c r="W56" s="45">
        <v>94.481540686200006</v>
      </c>
      <c r="X56" s="19"/>
      <c r="Y56" s="19"/>
      <c r="Z56" s="19"/>
      <c r="AA56" s="19"/>
      <c r="AB56" s="19"/>
      <c r="AC56" s="19"/>
      <c r="AD56" s="19"/>
    </row>
    <row r="57" spans="1:30" s="33" customFormat="1" ht="12.95" customHeight="1">
      <c r="A57" s="19">
        <f>IF('Power Loss'!$F$32="VCC (PWM)", 0, IF(A26&gt;$E$9, 0, 2/((Vin-Vout)*Vout/(2*Vin*Lout*0.000001*('Efficiency Summary'!$E$9-'Efficiency Summary'!A26)))))</f>
        <v>0</v>
      </c>
      <c r="B57" s="66">
        <f>1/(1000/(Fs*1000)+'Efficiency Summary'!A57*1000)</f>
        <v>750</v>
      </c>
      <c r="C57" s="41">
        <f>Imin+(Imax-Imin)*0.2</f>
        <v>0.20080000000000001</v>
      </c>
      <c r="D57" s="19">
        <f t="shared" si="9"/>
        <v>0.66534588875269574</v>
      </c>
      <c r="E57" s="19">
        <f t="shared" si="10"/>
        <v>0.15081173478394438</v>
      </c>
      <c r="F57" s="19">
        <f t="shared" si="7"/>
        <v>0.16759544815147795</v>
      </c>
      <c r="G57" s="19">
        <f t="shared" si="8"/>
        <v>0.11886022900007594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45">
        <v>4.1944612841</v>
      </c>
      <c r="W57" s="45">
        <v>94.352259696800004</v>
      </c>
      <c r="X57" s="19"/>
      <c r="Y57" s="19"/>
      <c r="Z57" s="19"/>
      <c r="AA57" s="19"/>
      <c r="AB57" s="19"/>
      <c r="AC57" s="19"/>
      <c r="AD57" s="19"/>
    </row>
    <row r="58" spans="1:30" s="33" customFormat="1" ht="12.95" customHeight="1">
      <c r="A58" s="19">
        <f>IF('Power Loss'!$F$32="VCC (PWM)", 0, IF(A27&gt;$E$9, 0, 2/((Vin-Vout)*Vout/(2*Vin*Lout*0.000001*('Efficiency Summary'!$E$9-'Efficiency Summary'!A27)))))</f>
        <v>0</v>
      </c>
      <c r="B58" s="66">
        <f>1/(1000/(Fs*1000)+'Efficiency Summary'!A58*1000)</f>
        <v>750</v>
      </c>
      <c r="C58" s="41">
        <f>Imin+(Imax-Imin)*0.25</f>
        <v>0.25074999999999997</v>
      </c>
      <c r="D58" s="19">
        <f t="shared" si="9"/>
        <v>0.66748275226330578</v>
      </c>
      <c r="E58" s="19">
        <f t="shared" si="10"/>
        <v>0.15129609051301598</v>
      </c>
      <c r="F58" s="19">
        <f t="shared" si="7"/>
        <v>0.20794615903868868</v>
      </c>
      <c r="G58" s="19">
        <f t="shared" si="8"/>
        <v>0.14677022753758096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45">
        <v>4.3888393305999998</v>
      </c>
      <c r="W58" s="45">
        <v>94.2217688426</v>
      </c>
      <c r="X58" s="19"/>
      <c r="Y58" s="19"/>
      <c r="Z58" s="19"/>
      <c r="AA58" s="19"/>
      <c r="AB58" s="19"/>
      <c r="AC58" s="19"/>
      <c r="AD58" s="19"/>
    </row>
    <row r="59" spans="1:30" s="33" customFormat="1" ht="12.95" customHeight="1">
      <c r="A59" s="19">
        <f>IF('Power Loss'!$F$32="VCC (PWM)", 0, IF(A28&gt;$E$9, 0, 2/((Vin-Vout)*Vout/(2*Vin*Lout*0.000001*('Efficiency Summary'!$E$9-'Efficiency Summary'!A28)))))</f>
        <v>0</v>
      </c>
      <c r="B59" s="66">
        <f>1/(1000/(Fs*1000)+'Efficiency Summary'!A59*1000)</f>
        <v>750</v>
      </c>
      <c r="C59" s="41">
        <f>Imin+(Imax-Imin)*0.35</f>
        <v>0.35064999999999996</v>
      </c>
      <c r="D59" s="19">
        <f t="shared" si="9"/>
        <v>0.66855269307718168</v>
      </c>
      <c r="E59" s="19">
        <f t="shared" si="10"/>
        <v>0.15153861043082786</v>
      </c>
      <c r="F59" s="19">
        <f t="shared" si="7"/>
        <v>0.28893176198538123</v>
      </c>
      <c r="G59" s="19">
        <f t="shared" si="8"/>
        <v>0.20343923405683534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45">
        <v>4.5939091097000002</v>
      </c>
      <c r="W59" s="45">
        <v>94.072154842499998</v>
      </c>
      <c r="X59" s="19"/>
      <c r="Y59" s="19"/>
      <c r="Z59" s="19"/>
      <c r="AA59" s="19"/>
      <c r="AB59" s="19"/>
      <c r="AC59" s="19"/>
      <c r="AD59" s="19"/>
    </row>
    <row r="60" spans="1:30" s="33" customFormat="1" ht="12.95" customHeight="1">
      <c r="A60" s="19">
        <f>IF('Power Loss'!$F$32="VCC (PWM)", 0, IF(A29&gt;$E$9, 0, 2/((Vin-Vout)*Vout/(2*Vin*Lout*0.000001*('Efficiency Summary'!$E$9-'Efficiency Summary'!A29)))))</f>
        <v>0</v>
      </c>
      <c r="B60" s="66">
        <f>1/(1000/(Fs*1000)+'Efficiency Summary'!A60*1000)</f>
        <v>750</v>
      </c>
      <c r="C60" s="41">
        <f>Imin+(Imax-Imin)*0.4</f>
        <v>0.40060000000000001</v>
      </c>
      <c r="D60" s="19">
        <f t="shared" si="9"/>
        <v>0.66962364182557665</v>
      </c>
      <c r="E60" s="19">
        <f t="shared" si="10"/>
        <v>0.1517813588137974</v>
      </c>
      <c r="F60" s="19">
        <f t="shared" si="7"/>
        <v>0.32976807836039912</v>
      </c>
      <c r="G60" s="19">
        <f t="shared" si="8"/>
        <v>0.23163154556630794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45">
        <v>4.7883554582999999</v>
      </c>
      <c r="W60" s="45">
        <v>93.924058532100005</v>
      </c>
      <c r="X60" s="19"/>
      <c r="Y60" s="19"/>
      <c r="Z60" s="19"/>
      <c r="AA60" s="19"/>
      <c r="AB60" s="19"/>
      <c r="AC60" s="19"/>
      <c r="AD60" s="19"/>
    </row>
    <row r="61" spans="1:30" s="33" customFormat="1" ht="12.95" customHeight="1">
      <c r="A61" s="19">
        <f>IF('Power Loss'!$F$32="VCC (PWM)", 0, IF(A30&gt;$E$9, 0, 2/((Vin-Vout)*Vout/(2*Vin*Lout*0.000001*('Efficiency Summary'!$E$9-'Efficiency Summary'!A30)))))</f>
        <v>0</v>
      </c>
      <c r="B61" s="66">
        <f>1/(1000/(Fs*1000)+'Efficiency Summary'!A61*1000)</f>
        <v>750</v>
      </c>
      <c r="C61" s="41">
        <f>Imin+(Imax-Imin)*0.45</f>
        <v>0.45055000000000001</v>
      </c>
      <c r="D61" s="19">
        <f t="shared" si="9"/>
        <v>0.67069559993344474</v>
      </c>
      <c r="E61" s="19">
        <f t="shared" si="10"/>
        <v>0.15202433598491419</v>
      </c>
      <c r="F61" s="19">
        <f t="shared" si="7"/>
        <v>0.37072871795116025</v>
      </c>
      <c r="G61" s="19">
        <f t="shared" si="8"/>
        <v>0.25977195784109108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45">
        <v>4.9933078069999999</v>
      </c>
      <c r="W61" s="45">
        <v>93.762442034200006</v>
      </c>
      <c r="X61" s="19"/>
      <c r="Y61" s="19"/>
      <c r="Z61" s="19"/>
      <c r="AA61" s="19"/>
      <c r="AB61" s="19"/>
      <c r="AC61" s="19"/>
      <c r="AD61" s="19"/>
    </row>
    <row r="62" spans="1:30" s="33" customFormat="1" ht="12.95" customHeight="1">
      <c r="A62" s="19">
        <f>IF('Power Loss'!$F$32="VCC (PWM)", 0, IF(A31&gt;$E$9, 0, 2/((Vin-Vout)*Vout/(2*Vin*Lout*0.000001*('Efficiency Summary'!$E$9-'Efficiency Summary'!A31)))))</f>
        <v>0</v>
      </c>
      <c r="B62" s="66">
        <f>1/(1000/(Fs*1000)+'Efficiency Summary'!A62*1000)</f>
        <v>750</v>
      </c>
      <c r="C62" s="41">
        <f>Imin+(Imax-Imin)*0.5</f>
        <v>0.50049999999999994</v>
      </c>
      <c r="D62" s="19">
        <f t="shared" si="9"/>
        <v>0.67176856882842695</v>
      </c>
      <c r="E62" s="19">
        <f t="shared" si="10"/>
        <v>0.15226754226777681</v>
      </c>
      <c r="F62" s="19">
        <f t="shared" si="7"/>
        <v>0.41179622379222597</v>
      </c>
      <c r="G62" s="19">
        <f t="shared" si="8"/>
        <v>0.2878475935389283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45">
        <v>5.1875175037999997</v>
      </c>
      <c r="W62" s="45">
        <v>93.5994503979</v>
      </c>
      <c r="X62" s="19"/>
      <c r="Y62" s="19"/>
      <c r="Z62" s="19"/>
      <c r="AA62" s="19"/>
      <c r="AB62" s="19"/>
      <c r="AC62" s="19"/>
      <c r="AD62" s="19"/>
    </row>
    <row r="63" spans="1:30" s="33" customFormat="1" ht="12.95" customHeight="1">
      <c r="A63" s="19">
        <f>IF('Power Loss'!$F$32="VCC (PWM)", 0, IF(A32&gt;$E$9, 0, 2/((Vin-Vout)*Vout/(2*Vin*Lout*0.000001*('Efficiency Summary'!$E$9-'Efficiency Summary'!A32)))))</f>
        <v>0</v>
      </c>
      <c r="B63" s="66">
        <f>1/(1000/(Fs*1000)+'Efficiency Summary'!A63*1000)</f>
        <v>750</v>
      </c>
      <c r="C63" s="41">
        <f>Imin+(Imax-Imin)*0.55</f>
        <v>0.55044999999999999</v>
      </c>
      <c r="D63" s="19">
        <f t="shared" si="9"/>
        <v>0.67284254994085757</v>
      </c>
      <c r="E63" s="19">
        <f t="shared" si="10"/>
        <v>0.15251097798659441</v>
      </c>
      <c r="F63" s="19">
        <f t="shared" si="7"/>
        <v>0.45295941903789233</v>
      </c>
      <c r="G63" s="19">
        <f t="shared" si="8"/>
        <v>0.31585007055889247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45">
        <v>5.3925784455999999</v>
      </c>
      <c r="W63" s="45">
        <v>93.427518963500006</v>
      </c>
      <c r="X63" s="19"/>
      <c r="Y63" s="19"/>
      <c r="Z63" s="19"/>
      <c r="AA63" s="19"/>
      <c r="AB63" s="19"/>
      <c r="AC63" s="19"/>
      <c r="AD63" s="19"/>
    </row>
    <row r="64" spans="1:30" s="33" customFormat="1" ht="12.95" customHeight="1">
      <c r="A64" s="19">
        <f>IF('Power Loss'!$F$32="VCC (PWM)", 0, IF(A33&gt;$E$9, 0, 2/((Vin-Vout)*Vout/(2*Vin*Lout*0.000001*('Efficiency Summary'!$E$9-'Efficiency Summary'!A33)))))</f>
        <v>0</v>
      </c>
      <c r="B64" s="66">
        <f>1/(1000/(Fs*1000)+'Efficiency Summary'!A64*1000)</f>
        <v>750</v>
      </c>
      <c r="C64" s="41">
        <f>Imin+(Imax-Imin)*0.6</f>
        <v>0.60039999999999993</v>
      </c>
      <c r="D64" s="19">
        <f t="shared" si="9"/>
        <v>0.67391754470377152</v>
      </c>
      <c r="E64" s="19">
        <f t="shared" si="10"/>
        <v>0.15275464346618825</v>
      </c>
      <c r="F64" s="19">
        <f t="shared" si="7"/>
        <v>0.49421082135654021</v>
      </c>
      <c r="G64" s="19">
        <f t="shared" si="8"/>
        <v>0.34377365006517591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45">
        <v>5.5869097852999996</v>
      </c>
      <c r="W64" s="45">
        <v>93.249920924099996</v>
      </c>
      <c r="X64" s="19"/>
      <c r="Y64" s="19"/>
      <c r="Z64" s="19"/>
      <c r="AA64" s="19"/>
      <c r="AB64" s="19"/>
      <c r="AC64" s="19"/>
      <c r="AD64" s="19"/>
    </row>
    <row r="65" spans="1:30" s="33" customFormat="1" ht="12.95" customHeight="1">
      <c r="A65" s="19">
        <f>IF('Power Loss'!$F$32="VCC (PWM)", 0, IF(A34&gt;$E$9, 0, 2/((Vin-Vout)*Vout/(2*Vin*Lout*0.000001*('Efficiency Summary'!$E$9-'Efficiency Summary'!A34)))))</f>
        <v>0</v>
      </c>
      <c r="B65" s="66">
        <f>1/(1000/(Fs*1000)+'Efficiency Summary'!A65*1000)</f>
        <v>750</v>
      </c>
      <c r="C65" s="41">
        <f>Imin+(Imax-Imin)*0.65</f>
        <v>0.65034999999999998</v>
      </c>
      <c r="D65" s="19">
        <f t="shared" si="9"/>
        <v>0.67499355455290921</v>
      </c>
      <c r="E65" s="19">
        <f t="shared" si="10"/>
        <v>0.15299853903199279</v>
      </c>
      <c r="F65" s="19">
        <f t="shared" si="7"/>
        <v>0.53554523626172668</v>
      </c>
      <c r="G65" s="19">
        <f t="shared" si="8"/>
        <v>0.37161422895640728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45">
        <v>5.7920528196000003</v>
      </c>
      <c r="W65" s="45">
        <v>93.059522668100001</v>
      </c>
      <c r="X65" s="19"/>
      <c r="Y65" s="19"/>
      <c r="Z65" s="19"/>
      <c r="AA65" s="19"/>
      <c r="AB65" s="19"/>
      <c r="AC65" s="19"/>
      <c r="AD65" s="19"/>
    </row>
    <row r="66" spans="1:30" s="33" customFormat="1" ht="12.95" customHeight="1">
      <c r="A66" s="19">
        <f>IF('Power Loss'!$F$32="VCC (PWM)", 0, IF(A35&gt;$E$9, 0, 2/((Vin-Vout)*Vout/(2*Vin*Lout*0.000001*('Efficiency Summary'!$E$9-'Efficiency Summary'!A35)))))</f>
        <v>0</v>
      </c>
      <c r="B66" s="66">
        <f>1/(1000/(Fs*1000)+'Efficiency Summary'!A66*1000)</f>
        <v>750</v>
      </c>
      <c r="C66" s="41">
        <f>Imin+(Imax-Imin)*0.7</f>
        <v>0.70029999999999992</v>
      </c>
      <c r="D66" s="19">
        <f t="shared" si="9"/>
        <v>0.67607058092672478</v>
      </c>
      <c r="E66" s="19">
        <f t="shared" si="10"/>
        <v>0.15324266501005762</v>
      </c>
      <c r="F66" s="19">
        <f t="shared" si="7"/>
        <v>0.5769589471045431</v>
      </c>
      <c r="G66" s="19">
        <f t="shared" si="8"/>
        <v>0.39936875969580515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45">
        <v>5.9863966591000004</v>
      </c>
      <c r="W66" s="45">
        <v>92.866269298099994</v>
      </c>
      <c r="X66" s="19"/>
      <c r="Y66" s="19"/>
      <c r="Z66" s="19"/>
      <c r="AA66" s="19"/>
      <c r="AB66" s="19"/>
      <c r="AC66" s="19"/>
      <c r="AD66" s="19"/>
    </row>
    <row r="67" spans="1:30" s="33" customFormat="1" ht="12.95" customHeight="1">
      <c r="A67" s="19">
        <f>IF('Power Loss'!$F$32="VCC (PWM)", 0, IF(A36&gt;$E$9, 0, 2/((Vin-Vout)*Vout/(2*Vin*Lout*0.000001*('Efficiency Summary'!$E$9-'Efficiency Summary'!A36)))))</f>
        <v>0</v>
      </c>
      <c r="B67" s="66">
        <f>1/(1000/(Fs*1000)+'Efficiency Summary'!A67*1000)</f>
        <v>750</v>
      </c>
      <c r="C67" s="41">
        <f>Imin+(Imax-Imin)*0.75</f>
        <v>0.75024999999999997</v>
      </c>
      <c r="D67" s="19">
        <f t="shared" si="9"/>
        <v>0.67714862526639097</v>
      </c>
      <c r="E67" s="19">
        <f t="shared" si="10"/>
        <v>0.15348702172704864</v>
      </c>
      <c r="F67" s="19">
        <f t="shared" si="7"/>
        <v>0.61844922619333387</v>
      </c>
      <c r="G67" s="19">
        <f t="shared" si="8"/>
        <v>0.42703490014371553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s="33" customFormat="1" ht="12.95" customHeight="1">
      <c r="A68" s="19">
        <f>IF('Power Loss'!$F$32="VCC (PWM)", 0, IF(A37&gt;$E$9, 0, 2/((Vin-Vout)*Vout/(2*Vin*Lout*0.000001*('Efficiency Summary'!$E$9-'Efficiency Summary'!A37)))))</f>
        <v>0</v>
      </c>
      <c r="B68" s="66">
        <f>1/(1000/(Fs*1000)+'Efficiency Summary'!A68*1000)</f>
        <v>750</v>
      </c>
      <c r="C68" s="41">
        <f>Imin+(Imax-Imin)*0.8</f>
        <v>0.80020000000000002</v>
      </c>
      <c r="D68" s="19">
        <f t="shared" si="9"/>
        <v>0.67822768901580588</v>
      </c>
      <c r="E68" s="19">
        <f t="shared" si="10"/>
        <v>0.15373160951024936</v>
      </c>
      <c r="F68" s="19">
        <f t="shared" si="7"/>
        <v>0.66001402782105734</v>
      </c>
      <c r="G68" s="19">
        <f t="shared" si="8"/>
        <v>0.45461079367554491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s="33" customFormat="1" ht="12.95" customHeight="1">
      <c r="A69" s="19">
        <f>IF('Power Loss'!$F$32="VCC (PWM)", 0, IF(A38&gt;$E$9, 0, 2/((Vin-Vout)*Vout/(2*Vin*Lout*0.000001*('Efficiency Summary'!$E$9-'Efficiency Summary'!A38)))))</f>
        <v>0</v>
      </c>
      <c r="B69" s="66">
        <f>1/(1000/(Fs*1000)+'Efficiency Summary'!A69*1000)</f>
        <v>750</v>
      </c>
      <c r="C69" s="41">
        <f>Imin+(Imax-Imin)*0.85</f>
        <v>0.85014999999999996</v>
      </c>
      <c r="D69" s="19">
        <f t="shared" si="9"/>
        <v>0.67930777362160011</v>
      </c>
      <c r="E69" s="19">
        <f t="shared" si="10"/>
        <v>0.15397642868756273</v>
      </c>
      <c r="F69" s="19">
        <f t="shared" si="7"/>
        <v>0.70165178889330815</v>
      </c>
      <c r="G69" s="19">
        <f t="shared" si="8"/>
        <v>0.48209492636350698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s="33" customFormat="1" ht="12.95" customHeight="1">
      <c r="A70" s="19">
        <f>IF('Power Loss'!$F$32="VCC (PWM)", 0, IF(A39&gt;$E$9, 0, 2/((Vin-Vout)*Vout/(2*Vin*Lout*0.000001*('Efficiency Summary'!$E$9-'Efficiency Summary'!A39)))))</f>
        <v>0</v>
      </c>
      <c r="B70" s="66">
        <f>1/(1000/(Fs*1000)+'Efficiency Summary'!A70*1000)</f>
        <v>750</v>
      </c>
      <c r="C70" s="41">
        <f>Imin+(Imax-Imin)*0.9</f>
        <v>0.90010000000000001</v>
      </c>
      <c r="D70" s="19">
        <f t="shared" si="9"/>
        <v>0.68038888053314239</v>
      </c>
      <c r="E70" s="19">
        <f t="shared" si="10"/>
        <v>0.15422147958751231</v>
      </c>
      <c r="F70" s="19">
        <f t="shared" si="7"/>
        <v>0.74336129560762232</v>
      </c>
      <c r="G70" s="19">
        <f t="shared" si="8"/>
        <v>0.50948603146347782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s="33" customFormat="1" ht="12.95" customHeight="1">
      <c r="A71" s="19">
        <f>IF('Power Loss'!$F$32="VCC (PWM)", 0, IF(A40&gt;$E$9, 0, 2/((Vin-Vout)*Vout/(2*Vin*Lout*0.000001*('Efficiency Summary'!$E$9-'Efficiency Summary'!A40)))))</f>
        <v>0</v>
      </c>
      <c r="B71" s="66">
        <f>1/(1000/(Fs*1000)+'Efficiency Summary'!A71*1000)</f>
        <v>750</v>
      </c>
      <c r="C71" s="41">
        <f>Imin+(Imax-Imin)*0.95</f>
        <v>0.95004999999999995</v>
      </c>
      <c r="D71" s="19">
        <f t="shared" si="9"/>
        <v>0.68147101120254672</v>
      </c>
      <c r="E71" s="19">
        <f t="shared" si="10"/>
        <v>0.15446676253924393</v>
      </c>
      <c r="F71" s="19">
        <f t="shared" si="7"/>
        <v>0.78514159200296407</v>
      </c>
      <c r="G71" s="19">
        <f t="shared" si="8"/>
        <v>0.53678302388814159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s="33" customFormat="1" ht="12.95" customHeight="1">
      <c r="A72" s="19">
        <f>IF('Power Loss'!$F$32="VCC (PWM)", 0, IF(A41&gt;$E$9, 0, 2/((Vin-Vout)*Vout/(2*Vin*Lout*0.000001*('Efficiency Summary'!$E$9-'Efficiency Summary'!A41)))))</f>
        <v>0</v>
      </c>
      <c r="B72" s="66">
        <f>1/(1000/(Fs*1000)+'Efficiency Summary'!A72*1000)</f>
        <v>750</v>
      </c>
      <c r="C72" s="41">
        <f>Imin+(Imax-Imin)*1</f>
        <v>1</v>
      </c>
      <c r="D72" s="19">
        <f t="shared" si="9"/>
        <v>0.65999999999999992</v>
      </c>
      <c r="E72" s="19">
        <f>(Vin-Vout)/Lout/10^(-6)*D72/Fs/10^3</f>
        <v>0.14959999999999998</v>
      </c>
      <c r="F72" s="19">
        <f t="shared" si="7"/>
        <v>0.81316105956938201</v>
      </c>
      <c r="G72" s="19">
        <f t="shared" si="8"/>
        <v>0.58363867635150213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ht="22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ht="20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ht="12.95" customHeight="1">
      <c r="A75" s="43" t="s">
        <v>118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ht="12.9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ht="12.95" customHeight="1">
      <c r="A77" s="19" t="s">
        <v>119</v>
      </c>
      <c r="B77" s="46">
        <v>1</v>
      </c>
      <c r="C77" s="46" t="s">
        <v>9</v>
      </c>
      <c r="D77" s="46"/>
      <c r="E77" s="46"/>
      <c r="F77" s="46"/>
      <c r="G77" s="46"/>
      <c r="H77" s="46"/>
      <c r="I77" s="46"/>
      <c r="J77" s="47" t="s">
        <v>120</v>
      </c>
      <c r="K77" s="46">
        <v>1</v>
      </c>
      <c r="L77" s="46" t="s">
        <v>4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ht="12.95" customHeight="1">
      <c r="A78" s="19" t="s">
        <v>121</v>
      </c>
      <c r="B78" s="46">
        <f>1.015*Vout</f>
        <v>3.3494999999999995</v>
      </c>
      <c r="C78" s="46" t="s">
        <v>4</v>
      </c>
      <c r="D78" s="46"/>
      <c r="E78" s="46"/>
      <c r="F78" s="46"/>
      <c r="G78" s="46"/>
      <c r="H78" s="46"/>
      <c r="I78" s="46"/>
      <c r="J78" s="47" t="s">
        <v>122</v>
      </c>
      <c r="K78" s="46">
        <v>5</v>
      </c>
      <c r="L78" s="46" t="s">
        <v>123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ht="12.95" customHeight="1">
      <c r="A79" s="19" t="s">
        <v>124</v>
      </c>
      <c r="B79" s="46">
        <v>0.2</v>
      </c>
      <c r="C79" s="46" t="s">
        <v>9</v>
      </c>
      <c r="D79" s="46"/>
      <c r="E79" s="46"/>
      <c r="F79" s="46"/>
      <c r="G79" s="46"/>
      <c r="H79" s="46"/>
      <c r="I79" s="46"/>
      <c r="J79" s="46" t="s">
        <v>84</v>
      </c>
      <c r="K79" s="46">
        <v>80</v>
      </c>
      <c r="L79" s="46" t="s">
        <v>125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s="38" customFormat="1" ht="12.95" customHeight="1">
      <c r="A80" s="18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s="38" customFormat="1" ht="12.95" customHeight="1">
      <c r="A81" s="18" t="s">
        <v>126</v>
      </c>
      <c r="B81" s="39">
        <f>+$B$77*Lout*0.000001/(Vin-Vout)</f>
        <v>5.8823529411764692E-6</v>
      </c>
      <c r="C81" s="18" t="s">
        <v>127</v>
      </c>
      <c r="D81" s="18"/>
      <c r="E81" s="18"/>
      <c r="F81" s="18"/>
      <c r="G81" s="18"/>
      <c r="H81" s="18"/>
      <c r="I81" s="18" t="s">
        <v>128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s="38" customFormat="1" ht="12.95" customHeight="1">
      <c r="A82" s="18" t="s">
        <v>129</v>
      </c>
      <c r="B82" s="39">
        <f>+$B$77*Lout*0.000001/(Vout)</f>
        <v>3.0303030303030301E-6</v>
      </c>
      <c r="C82" s="18" t="s">
        <v>127</v>
      </c>
      <c r="D82" s="18"/>
      <c r="E82" s="18"/>
      <c r="F82" s="18"/>
      <c r="G82" s="18"/>
      <c r="H82" s="18"/>
      <c r="I82" s="18" t="s">
        <v>130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s="38" customFormat="1" ht="12.95" customHeight="1">
      <c r="A83" s="18" t="s">
        <v>131</v>
      </c>
      <c r="B83" s="39">
        <f>1/(B81+B82)</f>
        <v>112200.00000000001</v>
      </c>
      <c r="C83" s="18" t="s">
        <v>132</v>
      </c>
      <c r="D83" s="18"/>
      <c r="E83" s="18"/>
      <c r="F83" s="18"/>
      <c r="G83" s="18"/>
      <c r="H83" s="18"/>
      <c r="I83" s="44" t="s">
        <v>133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s="38" customFormat="1" ht="12.95" customHeight="1">
      <c r="A84" s="18" t="s">
        <v>134</v>
      </c>
      <c r="B84" s="39">
        <f>2*B79*($B$77/2-B79)/(($B$78-Vout)*$B$77*Cap)</f>
        <v>0.1101928374655655</v>
      </c>
      <c r="C84" s="18" t="s">
        <v>132</v>
      </c>
      <c r="D84" s="18"/>
      <c r="E84" s="18"/>
      <c r="F84" s="18"/>
      <c r="G84" s="18"/>
      <c r="H84" s="18"/>
      <c r="I84" s="44" t="s">
        <v>135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s="38" customFormat="1" ht="12.95" customHeight="1">
      <c r="A85" s="18" t="s">
        <v>136</v>
      </c>
      <c r="B85" s="39">
        <f>+DCR*0.001*2*'Efficiency Summary'!B79*'Efficiency Summary'!$B$77/3</f>
        <v>2.6666666666666666E-3</v>
      </c>
      <c r="C85" s="18" t="s">
        <v>42</v>
      </c>
      <c r="D85" s="18"/>
      <c r="E85" s="18"/>
      <c r="F85" s="18"/>
      <c r="G85" s="18"/>
      <c r="H85" s="18"/>
      <c r="I85" s="18" t="s">
        <v>137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s="38" customFormat="1" ht="12.95" customHeight="1">
      <c r="A86" s="18" t="s">
        <v>138</v>
      </c>
      <c r="B86" s="39">
        <f>+DCR*0.001*$B$77*B79/6</f>
        <v>6.6666666666666664E-4</v>
      </c>
      <c r="C86" s="18" t="s">
        <v>42</v>
      </c>
      <c r="D86" s="18"/>
      <c r="E86" s="18"/>
      <c r="F86" s="18"/>
      <c r="G86" s="18"/>
      <c r="H86" s="18"/>
      <c r="I86" s="18" t="s">
        <v>137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s="38" customFormat="1" ht="12.95" customHeight="1">
      <c r="A87" s="18" t="s">
        <v>139</v>
      </c>
      <c r="B87" s="18">
        <f>2*Ron_u*0.001*'Efficiency Summary'!B79*'Efficiency Summary'!$B$77*Vout/(3*Vin)</f>
        <v>9.0032799999999989E-3</v>
      </c>
      <c r="C87" s="18" t="s">
        <v>42</v>
      </c>
      <c r="D87" s="18"/>
      <c r="E87" s="18"/>
      <c r="F87" s="18"/>
      <c r="G87" s="18"/>
      <c r="H87" s="18"/>
      <c r="I87" s="18" t="s">
        <v>140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s="38" customFormat="1" ht="12.95" customHeight="1">
      <c r="A88" s="18" t="s">
        <v>141</v>
      </c>
      <c r="B88" s="39">
        <f>+B79*(Vout*(Vin-Vout)/('Efficiency Summary'!$B$77*Lout*0.000001))*'Power Loss'!$B$53*0.000000001</f>
        <v>3.3660000000000016E-4</v>
      </c>
      <c r="C88" s="18" t="s">
        <v>42</v>
      </c>
      <c r="D88" s="18"/>
      <c r="E88" s="18"/>
      <c r="F88" s="18"/>
      <c r="G88" s="18"/>
      <c r="H88" s="18"/>
      <c r="I88" s="18" t="s">
        <v>142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s="38" customFormat="1" ht="12.95" customHeight="1">
      <c r="A89" s="18" t="s">
        <v>143</v>
      </c>
      <c r="B89" s="18">
        <f>+'Power Loss'!$B$50*0.000000001*Vin^2*2*'Efficiency Summary'!B79*Vout*(Vin-Vout)/(Lout*0.000001*'Power Loss'!$B$79*'Efficiency Summary'!$B$77^2)</f>
        <v>5.4833349623692712E-4</v>
      </c>
      <c r="C89" s="18" t="s">
        <v>42</v>
      </c>
      <c r="D89" s="18"/>
      <c r="E89" s="18"/>
      <c r="F89" s="18"/>
      <c r="G89" s="18"/>
      <c r="H89" s="18"/>
      <c r="I89" s="18" t="s">
        <v>144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s="38" customFormat="1" ht="12.95" customHeight="1">
      <c r="A90" s="18" t="s">
        <v>145</v>
      </c>
      <c r="B90" s="18">
        <f>2*Ron_l*0.001*'Efficiency Summary'!$B$79*'Efficiency Summary'!$B$77*(Vin-Vout)/(3*Vin)</f>
        <v>2.5096522000000007E-3</v>
      </c>
      <c r="C90" s="18" t="s">
        <v>42</v>
      </c>
      <c r="D90" s="18"/>
      <c r="E90" s="18"/>
      <c r="F90" s="18"/>
      <c r="G90" s="18"/>
      <c r="H90" s="18"/>
      <c r="I90" s="18" t="s">
        <v>146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s="38" customFormat="1" ht="12.95" customHeight="1">
      <c r="A91" s="18" t="s">
        <v>147</v>
      </c>
      <c r="B91" s="18">
        <f>+'Power Loss'!$B$67*0.000000001*Vin^2*2*'Efficiency Summary'!B79*Vout*(Vin-Vout)/(Lout*0.000001*'Power Loss'!$B$79*'Efficiency Summary'!$B$77^2)</f>
        <v>1.0133675096493453E-3</v>
      </c>
      <c r="C91" s="18" t="s">
        <v>42</v>
      </c>
      <c r="D91" s="18"/>
      <c r="E91" s="18"/>
      <c r="F91" s="18"/>
      <c r="G91" s="18"/>
      <c r="H91" s="18"/>
      <c r="I91" s="18" t="s">
        <v>148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s="38" customFormat="1" ht="12.95" customHeight="1">
      <c r="A92" s="18" t="s">
        <v>149</v>
      </c>
      <c r="B92" s="18">
        <f>+$K$77*$K$78*0.000000001*2*B79*Vout*(Vin-Vout)/('Efficiency Summary'!$B$77^2*Lout*0.000001*Vin)</f>
        <v>2.2440000000000006E-4</v>
      </c>
      <c r="C92" s="18" t="s">
        <v>42</v>
      </c>
      <c r="D92" s="18"/>
      <c r="E92" s="18"/>
      <c r="F92" s="18"/>
      <c r="G92" s="18"/>
      <c r="H92" s="18"/>
      <c r="I92" s="18" t="s">
        <v>150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s="38" customFormat="1" ht="12.95" customHeight="1">
      <c r="A93" s="18" t="s">
        <v>151</v>
      </c>
      <c r="B93" s="18">
        <f>+ESR*0.001*B79*$B$77/(6*ncap)</f>
        <v>8.3333333333333331E-5</v>
      </c>
      <c r="C93" s="18" t="s">
        <v>42</v>
      </c>
      <c r="D93" s="18"/>
      <c r="E93" s="18"/>
      <c r="F93" s="18"/>
      <c r="G93" s="18"/>
      <c r="H93" s="18"/>
      <c r="I93" s="18" t="s">
        <v>152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s="38" customFormat="1" ht="12.95" customHeight="1">
      <c r="A94" s="18" t="s">
        <v>153</v>
      </c>
      <c r="B94" s="18">
        <f>+$K$79*0.000001*(1+20*B79)*Vin</f>
        <v>2E-3</v>
      </c>
      <c r="C94" s="18" t="s">
        <v>42</v>
      </c>
      <c r="D94" s="18"/>
      <c r="E94" s="18"/>
      <c r="F94" s="18"/>
      <c r="G94" s="18"/>
      <c r="H94" s="18"/>
      <c r="I94" s="18" t="s">
        <v>154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s="38" customFormat="1" ht="12.9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s="38" customFormat="1" ht="12.95" customHeight="1">
      <c r="A96" s="18" t="s">
        <v>155</v>
      </c>
      <c r="B96" s="39">
        <f>SUM(B85:B94)</f>
        <v>1.9052299872552941E-2</v>
      </c>
      <c r="C96" s="18" t="s">
        <v>42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s="38" customFormat="1" ht="12.9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s="38" customFormat="1" ht="12.95" customHeight="1">
      <c r="A98" s="18" t="s">
        <v>156</v>
      </c>
      <c r="B98" s="39">
        <f>+Vout*B79/(Vout*B79+'Efficiency Summary'!B96)</f>
        <v>0.97194280930036059</v>
      </c>
      <c r="C98" s="18" t="s">
        <v>14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s="38" customFormat="1" ht="12.9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s="38" customFormat="1" ht="12.95" customHeight="1">
      <c r="A100" s="18" t="s">
        <v>157</v>
      </c>
      <c r="B100" s="18" t="s">
        <v>158</v>
      </c>
      <c r="C100" s="18" t="s">
        <v>126</v>
      </c>
      <c r="D100" s="18" t="s">
        <v>129</v>
      </c>
      <c r="E100" s="18" t="s">
        <v>131</v>
      </c>
      <c r="F100" s="18" t="s">
        <v>134</v>
      </c>
      <c r="G100" s="18" t="s">
        <v>136</v>
      </c>
      <c r="H100" s="18" t="s">
        <v>138</v>
      </c>
      <c r="I100" s="18" t="s">
        <v>139</v>
      </c>
      <c r="J100" s="18" t="s">
        <v>141</v>
      </c>
      <c r="K100" s="18" t="s">
        <v>143</v>
      </c>
      <c r="L100" s="18" t="s">
        <v>145</v>
      </c>
      <c r="M100" s="18" t="s">
        <v>147</v>
      </c>
      <c r="N100" s="18" t="s">
        <v>149</v>
      </c>
      <c r="O100" s="18" t="s">
        <v>151</v>
      </c>
      <c r="P100" s="18" t="s">
        <v>153</v>
      </c>
      <c r="Q100" s="18" t="s">
        <v>40</v>
      </c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s="38" customFormat="1" ht="12.95" customHeight="1">
      <c r="A101" s="18">
        <v>1</v>
      </c>
      <c r="B101" s="18">
        <f>+Imin</f>
        <v>1E-3</v>
      </c>
      <c r="C101" s="39">
        <f t="shared" ref="C101:C144" si="11">+$B$77*Lout*0.000001/(Vin-Vout)</f>
        <v>5.8823529411764692E-6</v>
      </c>
      <c r="D101" s="39">
        <f t="shared" ref="D101:D144" si="12">+$B$77*Lout*0.000001/(Vout)</f>
        <v>3.0303030303030301E-6</v>
      </c>
      <c r="E101" s="39">
        <f>1/(C101+D101)</f>
        <v>112200.00000000001</v>
      </c>
      <c r="F101" s="39">
        <f>2*B101*($B$77/2-B101)/(($B$78-Vout)*$B$77*Cap)</f>
        <v>9.1643709825528637E-4</v>
      </c>
      <c r="G101" s="39">
        <f>+DCR*0.001*2*'Efficiency Summary'!B101*'Efficiency Summary'!$B$77/3</f>
        <v>1.3333333333333335E-5</v>
      </c>
      <c r="H101" s="39">
        <f>+DCR*0.001*$B$77*B101/6</f>
        <v>3.3333333333333337E-6</v>
      </c>
      <c r="I101" s="18">
        <f>2*Ron_u*0.001*'Efficiency Summary'!B101*'Efficiency Summary'!$B$77*Vout/(3*Vin)</f>
        <v>4.5016399999999991E-5</v>
      </c>
      <c r="J101" s="39">
        <f>+B101*(Vout*(Vin-Vout)/('Efficiency Summary'!$B$77*Lout*0.000001))*'Power Loss'!$B$53*0.000000001</f>
        <v>1.6830000000000007E-6</v>
      </c>
      <c r="K101" s="18">
        <f>+'Power Loss'!$B$50*0.000000001*Vin^2*2*'Efficiency Summary'!B101*Vout*(Vin-Vout)/(Lout*0.000001*'Power Loss'!$B$79*'Efficiency Summary'!$B$77^2)</f>
        <v>2.7416674811846354E-6</v>
      </c>
      <c r="L101" s="18">
        <f>2*Ron_l*0.001*'Efficiency Summary'!$B$79*'Efficiency Summary'!$B$77*(Vin-Vout)/(3*Vin)</f>
        <v>2.5096522000000007E-3</v>
      </c>
      <c r="M101" s="18">
        <f>+'Power Loss'!$B$67*0.000000001*Vin^2*2*'Efficiency Summary'!B101*Vout*(Vin-Vout)/(Lout*0.000001*'Power Loss'!$B$79*'Efficiency Summary'!$B$77^2)</f>
        <v>5.0668375482467261E-6</v>
      </c>
      <c r="N101" s="18">
        <f>+$K$77*$K$78*0.000000001*2*B101*Vout*(Vin-Vout)/('Efficiency Summary'!$B$77^2*Lout*0.000001*Vin)</f>
        <v>1.1220000000000004E-6</v>
      </c>
      <c r="O101" s="18">
        <f>+ESR*0.001*B101*$B$77/(6*ncap)</f>
        <v>4.1666666666666672E-7</v>
      </c>
      <c r="P101" s="18">
        <f>+$K$79*0.000001*(1+20*B101)*Vin</f>
        <v>4.0799999999999994E-4</v>
      </c>
      <c r="Q101" s="39">
        <f>+B101*Vout*100/(Vout*'Efficiency Summary'!B101+SUM('Efficiency Summary'!G101:P101))</f>
        <v>52.461181028918297</v>
      </c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s="38" customFormat="1" ht="12.95" customHeight="1">
      <c r="A102" s="18">
        <f>+A101+2</f>
        <v>3</v>
      </c>
      <c r="B102" s="18">
        <f t="shared" ref="B102:B143" si="13">+Imin+($B$77-Imin)*0.01*A102/2</f>
        <v>1.5985000000000003E-2</v>
      </c>
      <c r="C102" s="39">
        <f t="shared" si="11"/>
        <v>5.8823529411764692E-6</v>
      </c>
      <c r="D102" s="39">
        <f t="shared" si="12"/>
        <v>3.0303030303030301E-6</v>
      </c>
      <c r="E102" s="39">
        <f>1/(C102+D102)</f>
        <v>112200.00000000001</v>
      </c>
      <c r="F102" s="39">
        <f t="shared" ref="F102:F144" si="14">2*B102*($B$77/2-B102)/(($B$78-Vout)*$B$77*Cap)</f>
        <v>1.4209329247015711E-2</v>
      </c>
      <c r="G102" s="39">
        <f>+DCR*0.001*2*'Efficiency Summary'!B102*'Efficiency Summary'!$B$77/3</f>
        <v>2.1313333333333338E-4</v>
      </c>
      <c r="H102" s="39">
        <f t="shared" ref="H102:H144" si="15">+DCR*0.001*$B$77*B102/6</f>
        <v>5.3283333333333346E-5</v>
      </c>
      <c r="I102" s="18">
        <f>2*Ron_u*0.001*'Efficiency Summary'!B102*'Efficiency Summary'!$B$77*Vout/(3*Vin)</f>
        <v>7.1958715399999987E-4</v>
      </c>
      <c r="J102" s="39">
        <f>+B102*(Vout*(Vin-Vout)/('Efficiency Summary'!$B$77*Lout*0.000001))*'Power Loss'!$B$53*0.000000001</f>
        <v>2.690275500000001E-5</v>
      </c>
      <c r="K102" s="18">
        <f>+'Power Loss'!$B$50*0.000000001*Vin^2*2*'Efficiency Summary'!B102*Vout*(Vin-Vout)/(Lout*0.000001*'Power Loss'!$B$79*'Efficiency Summary'!$B$77^2)</f>
        <v>4.3825554686736411E-5</v>
      </c>
      <c r="L102" s="18">
        <f>2*Ron_l*0.001*'Efficiency Summary'!$B$79*'Efficiency Summary'!$B$77*(Vin-Vout)/(3*Vin)</f>
        <v>2.5096522000000007E-3</v>
      </c>
      <c r="M102" s="18">
        <f>+'Power Loss'!$B$67*0.000000001*Vin^2*2*'Efficiency Summary'!B102*Vout*(Vin-Vout)/(Lout*0.000001*'Power Loss'!$B$79*'Efficiency Summary'!$B$77^2)</f>
        <v>8.0993398208723945E-5</v>
      </c>
      <c r="N102" s="18">
        <f>+$K$77*$K$78*0.000000001*2*B102*Vout*(Vin-Vout)/('Efficiency Summary'!$B$77^2*Lout*0.000001*Vin)</f>
        <v>1.7935170000000005E-5</v>
      </c>
      <c r="O102" s="18">
        <f t="shared" ref="O102:O144" si="16">+ESR*0.001*B102*$B$77/(6*ncap)</f>
        <v>6.6604166666666682E-6</v>
      </c>
      <c r="P102" s="18">
        <f t="shared" ref="P102:P144" si="17">+$K$79*0.000001*(1+20*B102)*Vin</f>
        <v>5.2787999999999999E-4</v>
      </c>
      <c r="Q102" s="39">
        <f>+B102*Vout*100/(Vout*'Efficiency Summary'!B102+SUM('Efficiency Summary'!G102:P102))</f>
        <v>92.625413064635481</v>
      </c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s="38" customFormat="1" ht="12.95" customHeight="1">
      <c r="A103" s="18">
        <f t="shared" ref="A103:A144" si="18">+A102+2</f>
        <v>5</v>
      </c>
      <c r="B103" s="18">
        <f t="shared" si="13"/>
        <v>2.5975000000000002E-2</v>
      </c>
      <c r="C103" s="39">
        <f t="shared" si="11"/>
        <v>5.8823529411764692E-6</v>
      </c>
      <c r="D103" s="39">
        <f t="shared" si="12"/>
        <v>3.0303030303030301E-6</v>
      </c>
      <c r="E103" s="39">
        <f t="shared" ref="E103:E144" si="19">1/(C103+D103)</f>
        <v>112200.00000000001</v>
      </c>
      <c r="F103" s="39">
        <f t="shared" si="14"/>
        <v>2.261303833792486E-2</v>
      </c>
      <c r="G103" s="39">
        <f>+DCR*0.001*2*'Efficiency Summary'!B103*'Efficiency Summary'!$B$77/3</f>
        <v>3.4633333333333331E-4</v>
      </c>
      <c r="H103" s="39">
        <f t="shared" si="15"/>
        <v>8.6583333333333328E-5</v>
      </c>
      <c r="I103" s="18">
        <f>2*Ron_u*0.001*'Efficiency Summary'!B103*'Efficiency Summary'!$B$77*Vout/(3*Vin)</f>
        <v>1.1693009899999998E-3</v>
      </c>
      <c r="J103" s="39">
        <f>+B103*(Vout*(Vin-Vout)/('Efficiency Summary'!$B$77*Lout*0.000001))*'Power Loss'!$B$53*0.000000001</f>
        <v>4.3715925000000015E-5</v>
      </c>
      <c r="K103" s="18">
        <f>+'Power Loss'!$B$50*0.000000001*Vin^2*2*'Efficiency Summary'!B103*Vout*(Vin-Vout)/(Lout*0.000001*'Power Loss'!$B$79*'Efficiency Summary'!$B$77^2)</f>
        <v>7.1214812823770909E-5</v>
      </c>
      <c r="L103" s="18">
        <f>2*Ron_l*0.001*'Efficiency Summary'!$B$79*'Efficiency Summary'!$B$77*(Vin-Vout)/(3*Vin)</f>
        <v>2.5096522000000007E-3</v>
      </c>
      <c r="M103" s="18">
        <f>+'Power Loss'!$B$67*0.000000001*Vin^2*2*'Efficiency Summary'!B103*Vout*(Vin-Vout)/(Lout*0.000001*'Power Loss'!$B$79*'Efficiency Summary'!$B$77^2)</f>
        <v>1.3161110531570872E-4</v>
      </c>
      <c r="N103" s="18">
        <f>+$K$77*$K$78*0.000000001*2*B103*Vout*(Vin-Vout)/('Efficiency Summary'!$B$77^2*Lout*0.000001*Vin)</f>
        <v>2.9143950000000004E-5</v>
      </c>
      <c r="O103" s="18">
        <f t="shared" si="16"/>
        <v>1.0822916666666666E-5</v>
      </c>
      <c r="P103" s="18">
        <f t="shared" si="17"/>
        <v>6.0779999999999992E-4</v>
      </c>
      <c r="Q103" s="39">
        <f>+B103*Vout*100/(Vout*'Efficiency Summary'!B103+SUM('Efficiency Summary'!G103:P103))</f>
        <v>94.481949315134074</v>
      </c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s="38" customFormat="1" ht="12.95" customHeight="1">
      <c r="A104" s="18">
        <f t="shared" si="18"/>
        <v>7</v>
      </c>
      <c r="B104" s="18">
        <f t="shared" si="13"/>
        <v>3.5965000000000004E-2</v>
      </c>
      <c r="C104" s="39">
        <f t="shared" si="11"/>
        <v>5.8823529411764692E-6</v>
      </c>
      <c r="D104" s="39">
        <f t="shared" si="12"/>
        <v>3.0303030303030301E-6</v>
      </c>
      <c r="E104" s="39">
        <f t="shared" si="19"/>
        <v>112200.00000000001</v>
      </c>
      <c r="F104" s="39">
        <f t="shared" si="14"/>
        <v>3.0650172222222438E-2</v>
      </c>
      <c r="G104" s="39">
        <f>+DCR*0.001*2*'Efficiency Summary'!B104*'Efficiency Summary'!$B$77/3</f>
        <v>4.7953333333333341E-4</v>
      </c>
      <c r="H104" s="39">
        <f t="shared" si="15"/>
        <v>1.1988333333333335E-4</v>
      </c>
      <c r="I104" s="18">
        <f>2*Ron_u*0.001*'Efficiency Summary'!B104*'Efficiency Summary'!$B$77*Vout/(3*Vin)</f>
        <v>1.619014826E-3</v>
      </c>
      <c r="J104" s="39">
        <f>+B104*(Vout*(Vin-Vout)/('Efficiency Summary'!$B$77*Lout*0.000001))*'Power Loss'!$B$53*0.000000001</f>
        <v>6.0529095000000016E-5</v>
      </c>
      <c r="K104" s="18">
        <f>+'Power Loss'!$B$50*0.000000001*Vin^2*2*'Efficiency Summary'!B104*Vout*(Vin-Vout)/(Lout*0.000001*'Power Loss'!$B$79*'Efficiency Summary'!$B$77^2)</f>
        <v>9.8604070960805421E-5</v>
      </c>
      <c r="L104" s="18">
        <f>2*Ron_l*0.001*'Efficiency Summary'!$B$79*'Efficiency Summary'!$B$77*(Vin-Vout)/(3*Vin)</f>
        <v>2.5096522000000007E-3</v>
      </c>
      <c r="M104" s="18">
        <f>+'Power Loss'!$B$67*0.000000001*Vin^2*2*'Efficiency Summary'!B104*Vout*(Vin-Vout)/(Lout*0.000001*'Power Loss'!$B$79*'Efficiency Summary'!$B$77^2)</f>
        <v>1.8222881242269351E-4</v>
      </c>
      <c r="N104" s="18">
        <f>+$K$77*$K$78*0.000000001*2*B104*Vout*(Vin-Vout)/('Efficiency Summary'!$B$77^2*Lout*0.000001*Vin)</f>
        <v>4.0352730000000013E-5</v>
      </c>
      <c r="O104" s="18">
        <f t="shared" si="16"/>
        <v>1.4985416666666669E-5</v>
      </c>
      <c r="P104" s="18">
        <f t="shared" si="17"/>
        <v>6.8771999999999995E-4</v>
      </c>
      <c r="Q104" s="39">
        <f>+B104*Vout*100/(Vout*'Efficiency Summary'!B104+SUM('Efficiency Summary'!G104:P104))</f>
        <v>95.33120987696438</v>
      </c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s="38" customFormat="1" ht="12.95" customHeight="1">
      <c r="A105" s="18">
        <f t="shared" si="18"/>
        <v>9</v>
      </c>
      <c r="B105" s="18">
        <f t="shared" si="13"/>
        <v>4.5955000000000003E-2</v>
      </c>
      <c r="C105" s="39">
        <f t="shared" si="11"/>
        <v>5.8823529411764692E-6</v>
      </c>
      <c r="D105" s="39">
        <f t="shared" si="12"/>
        <v>3.0303030303030301E-6</v>
      </c>
      <c r="E105" s="39">
        <f t="shared" si="19"/>
        <v>112200.00000000001</v>
      </c>
      <c r="F105" s="39">
        <f t="shared" si="14"/>
        <v>3.8320730899908437E-2</v>
      </c>
      <c r="G105" s="39">
        <f>+DCR*0.001*2*'Efficiency Summary'!B105*'Efficiency Summary'!$B$77/3</f>
        <v>6.1273333333333334E-4</v>
      </c>
      <c r="H105" s="39">
        <f t="shared" si="15"/>
        <v>1.5318333333333333E-4</v>
      </c>
      <c r="I105" s="18">
        <f>2*Ron_u*0.001*'Efficiency Summary'!B105*'Efficiency Summary'!$B$77*Vout/(3*Vin)</f>
        <v>2.0687286619999997E-3</v>
      </c>
      <c r="J105" s="39">
        <f>+B105*(Vout*(Vin-Vout)/('Efficiency Summary'!$B$77*Lout*0.000001))*'Power Loss'!$B$53*0.000000001</f>
        <v>7.7342265000000031E-5</v>
      </c>
      <c r="K105" s="18">
        <f>+'Power Loss'!$B$50*0.000000001*Vin^2*2*'Efficiency Summary'!B105*Vout*(Vin-Vout)/(Lout*0.000001*'Power Loss'!$B$79*'Efficiency Summary'!$B$77^2)</f>
        <v>1.2599332909783993E-4</v>
      </c>
      <c r="L105" s="18">
        <f>2*Ron_l*0.001*'Efficiency Summary'!$B$79*'Efficiency Summary'!$B$77*(Vin-Vout)/(3*Vin)</f>
        <v>2.5096522000000007E-3</v>
      </c>
      <c r="M105" s="18">
        <f>+'Power Loss'!$B$67*0.000000001*Vin^2*2*'Efficiency Summary'!B105*Vout*(Vin-Vout)/(Lout*0.000001*'Power Loss'!$B$79*'Efficiency Summary'!$B$77^2)</f>
        <v>2.328465195296783E-4</v>
      </c>
      <c r="N105" s="18">
        <f>+$K$77*$K$78*0.000000001*2*B105*Vout*(Vin-Vout)/('Efficiency Summary'!$B$77^2*Lout*0.000001*Vin)</f>
        <v>5.1561510000000012E-5</v>
      </c>
      <c r="O105" s="18">
        <f t="shared" si="16"/>
        <v>1.9147916666666667E-5</v>
      </c>
      <c r="P105" s="18">
        <f t="shared" si="17"/>
        <v>7.6763999999999999E-4</v>
      </c>
      <c r="Q105" s="39">
        <f>+B105*Vout*100/(Vout*'Efficiency Summary'!B105+SUM('Efficiency Summary'!G105:P105))</f>
        <v>95.818022804465812</v>
      </c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s="38" customFormat="1" ht="12.95" customHeight="1">
      <c r="A106" s="18">
        <f t="shared" si="18"/>
        <v>11</v>
      </c>
      <c r="B106" s="18">
        <f t="shared" si="13"/>
        <v>5.5945000000000002E-2</v>
      </c>
      <c r="C106" s="39">
        <f t="shared" si="11"/>
        <v>5.8823529411764692E-6</v>
      </c>
      <c r="D106" s="39">
        <f t="shared" si="12"/>
        <v>3.0303030303030301E-6</v>
      </c>
      <c r="E106" s="39">
        <f t="shared" si="19"/>
        <v>112200.00000000001</v>
      </c>
      <c r="F106" s="39">
        <f t="shared" si="14"/>
        <v>4.5624714370982866E-2</v>
      </c>
      <c r="G106" s="39">
        <f>+DCR*0.001*2*'Efficiency Summary'!B106*'Efficiency Summary'!$B$77/3</f>
        <v>7.4593333333333343E-4</v>
      </c>
      <c r="H106" s="39">
        <f t="shared" si="15"/>
        <v>1.8648333333333336E-4</v>
      </c>
      <c r="I106" s="18">
        <f>2*Ron_u*0.001*'Efficiency Summary'!B106*'Efficiency Summary'!$B$77*Vout/(3*Vin)</f>
        <v>2.5184424979999994E-3</v>
      </c>
      <c r="J106" s="39">
        <f>+B106*(Vout*(Vin-Vout)/('Efficiency Summary'!$B$77*Lout*0.000001))*'Power Loss'!$B$53*0.000000001</f>
        <v>9.4155435000000033E-5</v>
      </c>
      <c r="K106" s="18">
        <f>+'Power Loss'!$B$50*0.000000001*Vin^2*2*'Efficiency Summary'!B106*Vout*(Vin-Vout)/(Lout*0.000001*'Power Loss'!$B$79*'Efficiency Summary'!$B$77^2)</f>
        <v>1.5338258723487445E-4</v>
      </c>
      <c r="L106" s="18">
        <f>2*Ron_l*0.001*'Efficiency Summary'!$B$79*'Efficiency Summary'!$B$77*(Vin-Vout)/(3*Vin)</f>
        <v>2.5096522000000007E-3</v>
      </c>
      <c r="M106" s="18">
        <f>+'Power Loss'!$B$67*0.000000001*Vin^2*2*'Efficiency Summary'!B106*Vout*(Vin-Vout)/(Lout*0.000001*'Power Loss'!$B$79*'Efficiency Summary'!$B$77^2)</f>
        <v>2.8346422663666309E-4</v>
      </c>
      <c r="N106" s="18">
        <f>+$K$77*$K$78*0.000000001*2*B106*Vout*(Vin-Vout)/('Efficiency Summary'!$B$77^2*Lout*0.000001*Vin)</f>
        <v>6.2770290000000017E-5</v>
      </c>
      <c r="O106" s="18">
        <f t="shared" si="16"/>
        <v>2.331041666666667E-5</v>
      </c>
      <c r="P106" s="18">
        <f t="shared" si="17"/>
        <v>8.4755999999999981E-4</v>
      </c>
      <c r="Q106" s="39">
        <f>+B106*Vout*100/(Vout*'Efficiency Summary'!B106+SUM('Efficiency Summary'!G106:P106))</f>
        <v>96.133611211217357</v>
      </c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s="38" customFormat="1" ht="12.95" customHeight="1">
      <c r="A107" s="18">
        <f t="shared" si="18"/>
        <v>13</v>
      </c>
      <c r="B107" s="18">
        <f t="shared" si="13"/>
        <v>6.5935000000000007E-2</v>
      </c>
      <c r="C107" s="39">
        <f t="shared" si="11"/>
        <v>5.8823529411764692E-6</v>
      </c>
      <c r="D107" s="39">
        <f t="shared" si="12"/>
        <v>3.0303030303030301E-6</v>
      </c>
      <c r="E107" s="39">
        <f t="shared" si="19"/>
        <v>112200.00000000001</v>
      </c>
      <c r="F107" s="39">
        <f t="shared" si="14"/>
        <v>5.2562122635445734E-2</v>
      </c>
      <c r="G107" s="39">
        <f>+DCR*0.001*2*'Efficiency Summary'!B107*'Efficiency Summary'!$B$77/3</f>
        <v>8.7913333333333342E-4</v>
      </c>
      <c r="H107" s="39">
        <f t="shared" si="15"/>
        <v>2.1978333333333335E-4</v>
      </c>
      <c r="I107" s="18">
        <f>2*Ron_u*0.001*'Efficiency Summary'!B107*'Efficiency Summary'!$B$77*Vout/(3*Vin)</f>
        <v>2.9681563339999995E-3</v>
      </c>
      <c r="J107" s="39">
        <f>+B107*(Vout*(Vin-Vout)/('Efficiency Summary'!$B$77*Lout*0.000001))*'Power Loss'!$B$53*0.000000001</f>
        <v>1.1096860500000005E-4</v>
      </c>
      <c r="K107" s="18">
        <f>+'Power Loss'!$B$50*0.000000001*Vin^2*2*'Efficiency Summary'!B107*Vout*(Vin-Vout)/(Lout*0.000001*'Power Loss'!$B$79*'Efficiency Summary'!$B$77^2)</f>
        <v>1.8077184537190896E-4</v>
      </c>
      <c r="L107" s="18">
        <f>2*Ron_l*0.001*'Efficiency Summary'!$B$79*'Efficiency Summary'!$B$77*(Vin-Vout)/(3*Vin)</f>
        <v>2.5096522000000007E-3</v>
      </c>
      <c r="M107" s="18">
        <f>+'Power Loss'!$B$67*0.000000001*Vin^2*2*'Efficiency Summary'!B107*Vout*(Vin-Vout)/(Lout*0.000001*'Power Loss'!$B$79*'Efficiency Summary'!$B$77^2)</f>
        <v>3.340819337436479E-4</v>
      </c>
      <c r="N107" s="18">
        <f>+$K$77*$K$78*0.000000001*2*B107*Vout*(Vin-Vout)/('Efficiency Summary'!$B$77^2*Lout*0.000001*Vin)</f>
        <v>7.3979070000000023E-5</v>
      </c>
      <c r="O107" s="18">
        <f t="shared" si="16"/>
        <v>2.7472916666666669E-5</v>
      </c>
      <c r="P107" s="18">
        <f t="shared" si="17"/>
        <v>9.2748000000000006E-4</v>
      </c>
      <c r="Q107" s="39">
        <f>+B107*Vout*100/(Vout*'Efficiency Summary'!B107+SUM('Efficiency Summary'!G107:P107))</f>
        <v>96.354800428616826</v>
      </c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s="38" customFormat="1" ht="12.95" customHeight="1">
      <c r="A108" s="18">
        <f t="shared" si="18"/>
        <v>15</v>
      </c>
      <c r="B108" s="18">
        <f t="shared" si="13"/>
        <v>7.5925000000000006E-2</v>
      </c>
      <c r="C108" s="39">
        <f t="shared" si="11"/>
        <v>5.8823529411764692E-6</v>
      </c>
      <c r="D108" s="39">
        <f t="shared" si="12"/>
        <v>3.0303030303030301E-6</v>
      </c>
      <c r="E108" s="39">
        <f t="shared" si="19"/>
        <v>112200.00000000001</v>
      </c>
      <c r="F108" s="39">
        <f t="shared" si="14"/>
        <v>5.9132955693297018E-2</v>
      </c>
      <c r="G108" s="39">
        <f>+DCR*0.001*2*'Efficiency Summary'!B108*'Efficiency Summary'!$B$77/3</f>
        <v>1.0123333333333334E-3</v>
      </c>
      <c r="H108" s="39">
        <f t="shared" si="15"/>
        <v>2.5308333333333335E-4</v>
      </c>
      <c r="I108" s="18">
        <f>2*Ron_u*0.001*'Efficiency Summary'!B108*'Efficiency Summary'!$B$77*Vout/(3*Vin)</f>
        <v>3.4178701699999993E-3</v>
      </c>
      <c r="J108" s="39">
        <f>+B108*(Vout*(Vin-Vout)/('Efficiency Summary'!$B$77*Lout*0.000001))*'Power Loss'!$B$53*0.000000001</f>
        <v>1.2778177500000004E-4</v>
      </c>
      <c r="K108" s="18">
        <f>+'Power Loss'!$B$50*0.000000001*Vin^2*2*'Efficiency Summary'!B108*Vout*(Vin-Vout)/(Lout*0.000001*'Power Loss'!$B$79*'Efficiency Summary'!$B$77^2)</f>
        <v>2.0816110350894347E-4</v>
      </c>
      <c r="L108" s="18">
        <f>2*Ron_l*0.001*'Efficiency Summary'!$B$79*'Efficiency Summary'!$B$77*(Vin-Vout)/(3*Vin)</f>
        <v>2.5096522000000007E-3</v>
      </c>
      <c r="M108" s="18">
        <f>+'Power Loss'!$B$67*0.000000001*Vin^2*2*'Efficiency Summary'!B108*Vout*(Vin-Vout)/(Lout*0.000001*'Power Loss'!$B$79*'Efficiency Summary'!$B$77^2)</f>
        <v>3.8469964085063266E-4</v>
      </c>
      <c r="N108" s="18">
        <f>+$K$77*$K$78*0.000000001*2*B108*Vout*(Vin-Vout)/('Efficiency Summary'!$B$77^2*Lout*0.000001*Vin)</f>
        <v>8.5187850000000015E-5</v>
      </c>
      <c r="O108" s="18">
        <f t="shared" si="16"/>
        <v>3.1635416666666669E-5</v>
      </c>
      <c r="P108" s="18">
        <f t="shared" si="17"/>
        <v>1.0074000000000001E-3</v>
      </c>
      <c r="Q108" s="39">
        <f>+B108*Vout*100/(Vout*'Efficiency Summary'!B108+SUM('Efficiency Summary'!G108:P108))</f>
        <v>96.518435143844854</v>
      </c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s="38" customFormat="1" ht="12.95" customHeight="1">
      <c r="A109" s="18">
        <f t="shared" si="18"/>
        <v>17</v>
      </c>
      <c r="B109" s="18">
        <f t="shared" si="13"/>
        <v>8.5915000000000005E-2</v>
      </c>
      <c r="C109" s="39">
        <f t="shared" si="11"/>
        <v>5.8823529411764692E-6</v>
      </c>
      <c r="D109" s="39">
        <f t="shared" si="12"/>
        <v>3.0303030303030301E-6</v>
      </c>
      <c r="E109" s="39">
        <f t="shared" si="19"/>
        <v>112200.00000000001</v>
      </c>
      <c r="F109" s="39">
        <f t="shared" si="14"/>
        <v>6.5337213544536726E-2</v>
      </c>
      <c r="G109" s="39">
        <f>+DCR*0.001*2*'Efficiency Summary'!B109*'Efficiency Summary'!$B$77/3</f>
        <v>1.1455333333333334E-3</v>
      </c>
      <c r="H109" s="39">
        <f t="shared" si="15"/>
        <v>2.8638333333333335E-4</v>
      </c>
      <c r="I109" s="18">
        <f>2*Ron_u*0.001*'Efficiency Summary'!B109*'Efficiency Summary'!$B$77*Vout/(3*Vin)</f>
        <v>3.8675840059999994E-3</v>
      </c>
      <c r="J109" s="39">
        <f>+B109*(Vout*(Vin-Vout)/('Efficiency Summary'!$B$77*Lout*0.000001))*'Power Loss'!$B$53*0.000000001</f>
        <v>1.4459494500000005E-4</v>
      </c>
      <c r="K109" s="18">
        <f>+'Power Loss'!$B$50*0.000000001*Vin^2*2*'Efficiency Summary'!B109*Vout*(Vin-Vout)/(Lout*0.000001*'Power Loss'!$B$79*'Efficiency Summary'!$B$77^2)</f>
        <v>2.3555036164597795E-4</v>
      </c>
      <c r="L109" s="18">
        <f>2*Ron_l*0.001*'Efficiency Summary'!$B$79*'Efficiency Summary'!$B$77*(Vin-Vout)/(3*Vin)</f>
        <v>2.5096522000000007E-3</v>
      </c>
      <c r="M109" s="18">
        <f>+'Power Loss'!$B$67*0.000000001*Vin^2*2*'Efficiency Summary'!B109*Vout*(Vin-Vout)/(Lout*0.000001*'Power Loss'!$B$79*'Efficiency Summary'!$B$77^2)</f>
        <v>4.3531734795761753E-4</v>
      </c>
      <c r="N109" s="18">
        <f>+$K$77*$K$78*0.000000001*2*B109*Vout*(Vin-Vout)/('Efficiency Summary'!$B$77^2*Lout*0.000001*Vin)</f>
        <v>9.639663000000002E-5</v>
      </c>
      <c r="O109" s="18">
        <f t="shared" si="16"/>
        <v>3.5797916666666668E-5</v>
      </c>
      <c r="P109" s="18">
        <f t="shared" si="17"/>
        <v>1.0873200000000001E-3</v>
      </c>
      <c r="Q109" s="39">
        <f>+B109*Vout*100/(Vout*'Efficiency Summary'!B109+SUM('Efficiency Summary'!G109:P109))</f>
        <v>96.644393147352361</v>
      </c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s="38" customFormat="1" ht="12.95" customHeight="1">
      <c r="A110" s="18">
        <f t="shared" si="18"/>
        <v>19</v>
      </c>
      <c r="B110" s="18">
        <f t="shared" si="13"/>
        <v>9.5905000000000004E-2</v>
      </c>
      <c r="C110" s="39">
        <f t="shared" si="11"/>
        <v>5.8823529411764692E-6</v>
      </c>
      <c r="D110" s="39">
        <f t="shared" si="12"/>
        <v>3.0303030303030301E-6</v>
      </c>
      <c r="E110" s="39">
        <f t="shared" si="19"/>
        <v>112200.00000000001</v>
      </c>
      <c r="F110" s="39">
        <f t="shared" si="14"/>
        <v>7.1174896189164866E-2</v>
      </c>
      <c r="G110" s="39">
        <f>+DCR*0.001*2*'Efficiency Summary'!B110*'Efficiency Summary'!$B$77/3</f>
        <v>1.2787333333333334E-3</v>
      </c>
      <c r="H110" s="39">
        <f t="shared" si="15"/>
        <v>3.1968333333333334E-4</v>
      </c>
      <c r="I110" s="18">
        <f>2*Ron_u*0.001*'Efficiency Summary'!B110*'Efficiency Summary'!$B$77*Vout/(3*Vin)</f>
        <v>4.3172978419999996E-3</v>
      </c>
      <c r="J110" s="39">
        <f>+B110*(Vout*(Vin-Vout)/('Efficiency Summary'!$B$77*Lout*0.000001))*'Power Loss'!$B$53*0.000000001</f>
        <v>1.6140811500000007E-4</v>
      </c>
      <c r="K110" s="18">
        <f>+'Power Loss'!$B$50*0.000000001*Vin^2*2*'Efficiency Summary'!B110*Vout*(Vin-Vout)/(Lout*0.000001*'Power Loss'!$B$79*'Efficiency Summary'!$B$77^2)</f>
        <v>2.6293961978301252E-4</v>
      </c>
      <c r="L110" s="18">
        <f>2*Ron_l*0.001*'Efficiency Summary'!$B$79*'Efficiency Summary'!$B$77*(Vin-Vout)/(3*Vin)</f>
        <v>2.5096522000000007E-3</v>
      </c>
      <c r="M110" s="18">
        <f>+'Power Loss'!$B$67*0.000000001*Vin^2*2*'Efficiency Summary'!B110*Vout*(Vin-Vout)/(Lout*0.000001*'Power Loss'!$B$79*'Efficiency Summary'!$B$77^2)</f>
        <v>4.8593505506460224E-4</v>
      </c>
      <c r="N110" s="18">
        <f>+$K$77*$K$78*0.000000001*2*B110*Vout*(Vin-Vout)/('Efficiency Summary'!$B$77^2*Lout*0.000001*Vin)</f>
        <v>1.0760541000000003E-4</v>
      </c>
      <c r="O110" s="18">
        <f t="shared" si="16"/>
        <v>3.9960416666666668E-5</v>
      </c>
      <c r="P110" s="18">
        <f t="shared" si="17"/>
        <v>1.1672399999999999E-3</v>
      </c>
      <c r="Q110" s="39">
        <f>+B110*Vout*100/(Vout*'Efficiency Summary'!B110+SUM('Efficiency Summary'!G110:P110))</f>
        <v>96.744343568706824</v>
      </c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s="38" customFormat="1" ht="12.95" customHeight="1">
      <c r="A111" s="18">
        <f t="shared" si="18"/>
        <v>21</v>
      </c>
      <c r="B111" s="18">
        <f t="shared" si="13"/>
        <v>0.105895</v>
      </c>
      <c r="C111" s="39">
        <f t="shared" si="11"/>
        <v>5.8823529411764692E-6</v>
      </c>
      <c r="D111" s="39">
        <f t="shared" si="12"/>
        <v>3.0303030303030301E-6</v>
      </c>
      <c r="E111" s="39">
        <f t="shared" si="19"/>
        <v>112200.00000000001</v>
      </c>
      <c r="F111" s="39">
        <f t="shared" si="14"/>
        <v>7.6646003627181436E-2</v>
      </c>
      <c r="G111" s="39">
        <f>+DCR*0.001*2*'Efficiency Summary'!B111*'Efficiency Summary'!$B$77/3</f>
        <v>1.4119333333333336E-3</v>
      </c>
      <c r="H111" s="39">
        <f t="shared" si="15"/>
        <v>3.5298333333333339E-4</v>
      </c>
      <c r="I111" s="18">
        <f>2*Ron_u*0.001*'Efficiency Summary'!B111*'Efficiency Summary'!$B$77*Vout/(3*Vin)</f>
        <v>4.7670116779999988E-3</v>
      </c>
      <c r="J111" s="39">
        <f>+B111*(Vout*(Vin-Vout)/('Efficiency Summary'!$B$77*Lout*0.000001))*'Power Loss'!$B$53*0.000000001</f>
        <v>1.7822128500000005E-4</v>
      </c>
      <c r="K111" s="18">
        <f>+'Power Loss'!$B$50*0.000000001*Vin^2*2*'Efficiency Summary'!B111*Vout*(Vin-Vout)/(Lout*0.000001*'Power Loss'!$B$79*'Efficiency Summary'!$B$77^2)</f>
        <v>2.9032887792004701E-4</v>
      </c>
      <c r="L111" s="18">
        <f>2*Ron_l*0.001*'Efficiency Summary'!$B$79*'Efficiency Summary'!$B$77*(Vin-Vout)/(3*Vin)</f>
        <v>2.5096522000000007E-3</v>
      </c>
      <c r="M111" s="18">
        <f>+'Power Loss'!$B$67*0.000000001*Vin^2*2*'Efficiency Summary'!B111*Vout*(Vin-Vout)/(Lout*0.000001*'Power Loss'!$B$79*'Efficiency Summary'!$B$77^2)</f>
        <v>5.3655276217158706E-4</v>
      </c>
      <c r="N111" s="18">
        <f>+$K$77*$K$78*0.000000001*2*B111*Vout*(Vin-Vout)/('Efficiency Summary'!$B$77^2*Lout*0.000001*Vin)</f>
        <v>1.1881419000000003E-4</v>
      </c>
      <c r="O111" s="18">
        <f t="shared" si="16"/>
        <v>4.4122916666666674E-5</v>
      </c>
      <c r="P111" s="18">
        <f t="shared" si="17"/>
        <v>1.24716E-3</v>
      </c>
      <c r="Q111" s="39">
        <f>+B111*Vout*100/(Vout*'Efficiency Summary'!B111+SUM('Efficiency Summary'!G111:P111))</f>
        <v>96.825587634099293</v>
      </c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s="38" customFormat="1" ht="12.95" customHeight="1">
      <c r="A112" s="18">
        <f t="shared" si="18"/>
        <v>23</v>
      </c>
      <c r="B112" s="18">
        <f t="shared" si="13"/>
        <v>0.115885</v>
      </c>
      <c r="C112" s="39">
        <f t="shared" si="11"/>
        <v>5.8823529411764692E-6</v>
      </c>
      <c r="D112" s="39">
        <f t="shared" si="12"/>
        <v>3.0303030303030301E-6</v>
      </c>
      <c r="E112" s="39">
        <f t="shared" si="19"/>
        <v>112200.00000000001</v>
      </c>
      <c r="F112" s="39">
        <f t="shared" si="14"/>
        <v>8.1750535858586437E-2</v>
      </c>
      <c r="G112" s="39">
        <f>+DCR*0.001*2*'Efficiency Summary'!B112*'Efficiency Summary'!$B$77/3</f>
        <v>1.5451333333333336E-3</v>
      </c>
      <c r="H112" s="39">
        <f t="shared" si="15"/>
        <v>3.8628333333333339E-4</v>
      </c>
      <c r="I112" s="18">
        <f>2*Ron_u*0.001*'Efficiency Summary'!B112*'Efficiency Summary'!$B$77*Vout/(3*Vin)</f>
        <v>5.216725513999999E-3</v>
      </c>
      <c r="J112" s="39">
        <f>+B112*(Vout*(Vin-Vout)/('Efficiency Summary'!$B$77*Lout*0.000001))*'Power Loss'!$B$53*0.000000001</f>
        <v>1.9503445500000007E-4</v>
      </c>
      <c r="K112" s="18">
        <f>+'Power Loss'!$B$50*0.000000001*Vin^2*2*'Efficiency Summary'!B112*Vout*(Vin-Vout)/(Lout*0.000001*'Power Loss'!$B$79*'Efficiency Summary'!$B$77^2)</f>
        <v>3.1771813605708155E-4</v>
      </c>
      <c r="L112" s="18">
        <f>2*Ron_l*0.001*'Efficiency Summary'!$B$79*'Efficiency Summary'!$B$77*(Vin-Vout)/(3*Vin)</f>
        <v>2.5096522000000007E-3</v>
      </c>
      <c r="M112" s="18">
        <f>+'Power Loss'!$B$67*0.000000001*Vin^2*2*'Efficiency Summary'!B112*Vout*(Vin-Vout)/(Lout*0.000001*'Power Loss'!$B$79*'Efficiency Summary'!$B$77^2)</f>
        <v>5.8717046927857176E-4</v>
      </c>
      <c r="N112" s="18">
        <f>+$K$77*$K$78*0.000000001*2*B112*Vout*(Vin-Vout)/('Efficiency Summary'!$B$77^2*Lout*0.000001*Vin)</f>
        <v>1.3002297000000004E-4</v>
      </c>
      <c r="O112" s="18">
        <f t="shared" si="16"/>
        <v>4.8285416666666674E-5</v>
      </c>
      <c r="P112" s="18">
        <f t="shared" si="17"/>
        <v>1.32708E-3</v>
      </c>
      <c r="Q112" s="39">
        <f>+B112*Vout*100/(Vout*'Efficiency Summary'!B112+SUM('Efficiency Summary'!G112:P112))</f>
        <v>96.892927487587755</v>
      </c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s="38" customFormat="1" ht="12.95" customHeight="1">
      <c r="A113" s="18">
        <f t="shared" si="18"/>
        <v>25</v>
      </c>
      <c r="B113" s="18">
        <f t="shared" si="13"/>
        <v>0.12587500000000001</v>
      </c>
      <c r="C113" s="39">
        <f t="shared" si="11"/>
        <v>5.8823529411764692E-6</v>
      </c>
      <c r="D113" s="39">
        <f t="shared" si="12"/>
        <v>3.0303030303030301E-6</v>
      </c>
      <c r="E113" s="39">
        <f t="shared" si="19"/>
        <v>112200.00000000001</v>
      </c>
      <c r="F113" s="39">
        <f t="shared" si="14"/>
        <v>8.6488492883379856E-2</v>
      </c>
      <c r="G113" s="39">
        <f>+DCR*0.001*2*'Efficiency Summary'!B113*'Efficiency Summary'!$B$77/3</f>
        <v>1.6783333333333335E-3</v>
      </c>
      <c r="H113" s="39">
        <f t="shared" si="15"/>
        <v>4.1958333333333339E-4</v>
      </c>
      <c r="I113" s="18">
        <f>2*Ron_u*0.001*'Efficiency Summary'!B113*'Efficiency Summary'!$B$77*Vout/(3*Vin)</f>
        <v>5.6664393499999991E-3</v>
      </c>
      <c r="J113" s="39">
        <f>+B113*(Vout*(Vin-Vout)/('Efficiency Summary'!$B$77*Lout*0.000001))*'Power Loss'!$B$53*0.000000001</f>
        <v>2.1184762500000011E-4</v>
      </c>
      <c r="K113" s="18">
        <f>+'Power Loss'!$B$50*0.000000001*Vin^2*2*'Efficiency Summary'!B113*Vout*(Vin-Vout)/(Lout*0.000001*'Power Loss'!$B$79*'Efficiency Summary'!$B$77^2)</f>
        <v>3.4510739419411608E-4</v>
      </c>
      <c r="L113" s="18">
        <f>2*Ron_l*0.001*'Efficiency Summary'!$B$79*'Efficiency Summary'!$B$77*(Vin-Vout)/(3*Vin)</f>
        <v>2.5096522000000007E-3</v>
      </c>
      <c r="M113" s="18">
        <f>+'Power Loss'!$B$67*0.000000001*Vin^2*2*'Efficiency Summary'!B113*Vout*(Vin-Vout)/(Lout*0.000001*'Power Loss'!$B$79*'Efficiency Summary'!$B$77^2)</f>
        <v>6.3778817638555679E-4</v>
      </c>
      <c r="N113" s="18">
        <f>+$K$77*$K$78*0.000000001*2*B113*Vout*(Vin-Vout)/('Efficiency Summary'!$B$77^2*Lout*0.000001*Vin)</f>
        <v>1.4123175000000003E-4</v>
      </c>
      <c r="O113" s="18">
        <f t="shared" si="16"/>
        <v>5.2447916666666673E-5</v>
      </c>
      <c r="P113" s="18">
        <f t="shared" si="17"/>
        <v>1.4069999999999998E-3</v>
      </c>
      <c r="Q113" s="39">
        <f>+B113*Vout*100/(Vout*'Efficiency Summary'!B113+SUM('Efficiency Summary'!G113:P113))</f>
        <v>96.949651147898948</v>
      </c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s="38" customFormat="1" ht="12.95" customHeight="1">
      <c r="A114" s="18">
        <f t="shared" si="18"/>
        <v>27</v>
      </c>
      <c r="B114" s="18">
        <f t="shared" si="13"/>
        <v>0.13586500000000001</v>
      </c>
      <c r="C114" s="39">
        <f t="shared" si="11"/>
        <v>5.8823529411764692E-6</v>
      </c>
      <c r="D114" s="39">
        <f t="shared" si="12"/>
        <v>3.0303030303030301E-6</v>
      </c>
      <c r="E114" s="39">
        <f t="shared" si="19"/>
        <v>112200.00000000001</v>
      </c>
      <c r="F114" s="39">
        <f t="shared" si="14"/>
        <v>9.0859874701561705E-2</v>
      </c>
      <c r="G114" s="39">
        <f>+DCR*0.001*2*'Efficiency Summary'!B114*'Efficiency Summary'!$B$77/3</f>
        <v>1.8115333333333335E-3</v>
      </c>
      <c r="H114" s="39">
        <f t="shared" si="15"/>
        <v>4.5288333333333338E-4</v>
      </c>
      <c r="I114" s="18">
        <f>2*Ron_u*0.001*'Efficiency Summary'!B114*'Efficiency Summary'!$B$77*Vout/(3*Vin)</f>
        <v>6.1161531859999984E-3</v>
      </c>
      <c r="J114" s="39">
        <f>+B114*(Vout*(Vin-Vout)/('Efficiency Summary'!$B$77*Lout*0.000001))*'Power Loss'!$B$53*0.000000001</f>
        <v>2.2866079500000013E-4</v>
      </c>
      <c r="K114" s="18">
        <f>+'Power Loss'!$B$50*0.000000001*Vin^2*2*'Efficiency Summary'!B114*Vout*(Vin-Vout)/(Lout*0.000001*'Power Loss'!$B$79*'Efficiency Summary'!$B$77^2)</f>
        <v>3.7249665233115052E-4</v>
      </c>
      <c r="L114" s="18">
        <f>2*Ron_l*0.001*'Efficiency Summary'!$B$79*'Efficiency Summary'!$B$77*(Vin-Vout)/(3*Vin)</f>
        <v>2.5096522000000007E-3</v>
      </c>
      <c r="M114" s="18">
        <f>+'Power Loss'!$B$67*0.000000001*Vin^2*2*'Efficiency Summary'!B114*Vout*(Vin-Vout)/(Lout*0.000001*'Power Loss'!$B$79*'Efficiency Summary'!$B$77^2)</f>
        <v>6.884058834925415E-4</v>
      </c>
      <c r="N114" s="18">
        <f>+$K$77*$K$78*0.000000001*2*B114*Vout*(Vin-Vout)/('Efficiency Summary'!$B$77^2*Lout*0.000001*Vin)</f>
        <v>1.5244053000000005E-4</v>
      </c>
      <c r="O114" s="18">
        <f t="shared" si="16"/>
        <v>5.6610416666666673E-5</v>
      </c>
      <c r="P114" s="18">
        <f t="shared" si="17"/>
        <v>1.4869199999999999E-3</v>
      </c>
      <c r="Q114" s="39">
        <f>+B114*Vout*100/(Vout*'Efficiency Summary'!B114+SUM('Efficiency Summary'!G114:P114))</f>
        <v>96.998085663988633</v>
      </c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s="38" customFormat="1" ht="12.95" customHeight="1">
      <c r="A115" s="18">
        <f t="shared" si="18"/>
        <v>29</v>
      </c>
      <c r="B115" s="18">
        <f t="shared" si="13"/>
        <v>0.14585500000000001</v>
      </c>
      <c r="C115" s="39">
        <f t="shared" si="11"/>
        <v>5.8823529411764692E-6</v>
      </c>
      <c r="D115" s="39">
        <f t="shared" si="12"/>
        <v>3.0303030303030301E-6</v>
      </c>
      <c r="E115" s="39">
        <f t="shared" si="19"/>
        <v>112200.00000000001</v>
      </c>
      <c r="F115" s="39">
        <f t="shared" si="14"/>
        <v>9.4864681313131971E-2</v>
      </c>
      <c r="G115" s="39">
        <f>+DCR*0.001*2*'Efficiency Summary'!B115*'Efficiency Summary'!$B$77/3</f>
        <v>1.9447333333333335E-3</v>
      </c>
      <c r="H115" s="39">
        <f t="shared" si="15"/>
        <v>4.8618333333333338E-4</v>
      </c>
      <c r="I115" s="18">
        <f>2*Ron_u*0.001*'Efficiency Summary'!B115*'Efficiency Summary'!$B$77*Vout/(3*Vin)</f>
        <v>6.5658670219999994E-3</v>
      </c>
      <c r="J115" s="39">
        <f>+B115*(Vout*(Vin-Vout)/('Efficiency Summary'!$B$77*Lout*0.000001))*'Power Loss'!$B$53*0.000000001</f>
        <v>2.4547396500000011E-4</v>
      </c>
      <c r="K115" s="18">
        <f>+'Power Loss'!$B$50*0.000000001*Vin^2*2*'Efficiency Summary'!B115*Vout*(Vin-Vout)/(Lout*0.000001*'Power Loss'!$B$79*'Efficiency Summary'!$B$77^2)</f>
        <v>3.9988591046818505E-4</v>
      </c>
      <c r="L115" s="18">
        <f>2*Ron_l*0.001*'Efficiency Summary'!$B$79*'Efficiency Summary'!$B$77*(Vin-Vout)/(3*Vin)</f>
        <v>2.5096522000000007E-3</v>
      </c>
      <c r="M115" s="18">
        <f>+'Power Loss'!$B$67*0.000000001*Vin^2*2*'Efficiency Summary'!B115*Vout*(Vin-Vout)/(Lout*0.000001*'Power Loss'!$B$79*'Efficiency Summary'!$B$77^2)</f>
        <v>7.3902359059952632E-4</v>
      </c>
      <c r="N115" s="18">
        <f>+$K$77*$K$78*0.000000001*2*B115*Vout*(Vin-Vout)/('Efficiency Summary'!$B$77^2*Lout*0.000001*Vin)</f>
        <v>1.6364931000000001E-4</v>
      </c>
      <c r="O115" s="18">
        <f t="shared" si="16"/>
        <v>6.0772916666666672E-5</v>
      </c>
      <c r="P115" s="18">
        <f t="shared" si="17"/>
        <v>1.5668400000000001E-3</v>
      </c>
      <c r="Q115" s="39">
        <f>+B115*Vout*100/(Vout*'Efficiency Summary'!B115+SUM('Efficiency Summary'!G115:P115))</f>
        <v>97.039924281475876</v>
      </c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s="38" customFormat="1" ht="12.95" customHeight="1">
      <c r="A116" s="18">
        <f t="shared" si="18"/>
        <v>31</v>
      </c>
      <c r="B116" s="18">
        <f t="shared" si="13"/>
        <v>0.15584500000000001</v>
      </c>
      <c r="C116" s="39">
        <f t="shared" si="11"/>
        <v>5.8823529411764692E-6</v>
      </c>
      <c r="D116" s="39">
        <f t="shared" si="12"/>
        <v>3.0303030303030301E-6</v>
      </c>
      <c r="E116" s="39">
        <f t="shared" si="19"/>
        <v>112200.00000000001</v>
      </c>
      <c r="F116" s="39">
        <f t="shared" si="14"/>
        <v>9.8502912718090682E-2</v>
      </c>
      <c r="G116" s="39">
        <f>+DCR*0.001*2*'Efficiency Summary'!B116*'Efficiency Summary'!$B$77/3</f>
        <v>2.0779333333333333E-3</v>
      </c>
      <c r="H116" s="39">
        <f t="shared" si="15"/>
        <v>5.1948333333333332E-4</v>
      </c>
      <c r="I116" s="18">
        <f>2*Ron_u*0.001*'Efficiency Summary'!B116*'Efficiency Summary'!$B$77*Vout/(3*Vin)</f>
        <v>7.0155808579999987E-3</v>
      </c>
      <c r="J116" s="39">
        <f>+B116*(Vout*(Vin-Vout)/('Efficiency Summary'!$B$77*Lout*0.000001))*'Power Loss'!$B$53*0.000000001</f>
        <v>2.622871350000001E-4</v>
      </c>
      <c r="K116" s="18">
        <f>+'Power Loss'!$B$50*0.000000001*Vin^2*2*'Efficiency Summary'!B116*Vout*(Vin-Vout)/(Lout*0.000001*'Power Loss'!$B$79*'Efficiency Summary'!$B$77^2)</f>
        <v>4.2727516860521959E-4</v>
      </c>
      <c r="L116" s="18">
        <f>2*Ron_l*0.001*'Efficiency Summary'!$B$79*'Efficiency Summary'!$B$77*(Vin-Vout)/(3*Vin)</f>
        <v>2.5096522000000007E-3</v>
      </c>
      <c r="M116" s="18">
        <f>+'Power Loss'!$B$67*0.000000001*Vin^2*2*'Efficiency Summary'!B116*Vout*(Vin-Vout)/(Lout*0.000001*'Power Loss'!$B$79*'Efficiency Summary'!$B$77^2)</f>
        <v>7.8964129770651102E-4</v>
      </c>
      <c r="N116" s="18">
        <f>+$K$77*$K$78*0.000000001*2*B116*Vout*(Vin-Vout)/('Efficiency Summary'!$B$77^2*Lout*0.000001*Vin)</f>
        <v>1.7485809000000003E-4</v>
      </c>
      <c r="O116" s="18">
        <f t="shared" si="16"/>
        <v>6.4935416666666665E-5</v>
      </c>
      <c r="P116" s="18">
        <f t="shared" si="17"/>
        <v>1.6467599999999999E-3</v>
      </c>
      <c r="Q116" s="39">
        <f>+B116*Vout*100/(Vout*'Efficiency Summary'!B116+SUM('Efficiency Summary'!G116:P116))</f>
        <v>97.076428467740328</v>
      </c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s="38" customFormat="1" ht="12.95" customHeight="1">
      <c r="A117" s="18">
        <f t="shared" si="18"/>
        <v>33</v>
      </c>
      <c r="B117" s="18">
        <f t="shared" si="13"/>
        <v>0.16583500000000001</v>
      </c>
      <c r="C117" s="39">
        <f t="shared" si="11"/>
        <v>5.8823529411764692E-6</v>
      </c>
      <c r="D117" s="39">
        <f t="shared" si="12"/>
        <v>3.0303030303030301E-6</v>
      </c>
      <c r="E117" s="39">
        <f t="shared" si="19"/>
        <v>112200.00000000001</v>
      </c>
      <c r="F117" s="39">
        <f t="shared" si="14"/>
        <v>0.10177456891643781</v>
      </c>
      <c r="G117" s="39">
        <f>+DCR*0.001*2*'Efficiency Summary'!B117*'Efficiency Summary'!$B$77/3</f>
        <v>2.2111333333333333E-3</v>
      </c>
      <c r="H117" s="39">
        <f t="shared" si="15"/>
        <v>5.5278333333333332E-4</v>
      </c>
      <c r="I117" s="18">
        <f>2*Ron_u*0.001*'Efficiency Summary'!B117*'Efficiency Summary'!$B$77*Vout/(3*Vin)</f>
        <v>7.465294693999998E-3</v>
      </c>
      <c r="J117" s="39">
        <f>+B117*(Vout*(Vin-Vout)/('Efficiency Summary'!$B$77*Lout*0.000001))*'Power Loss'!$B$53*0.000000001</f>
        <v>2.7910030500000009E-4</v>
      </c>
      <c r="K117" s="18">
        <f>+'Power Loss'!$B$50*0.000000001*Vin^2*2*'Efficiency Summary'!B117*Vout*(Vin-Vout)/(Lout*0.000001*'Power Loss'!$B$79*'Efficiency Summary'!$B$77^2)</f>
        <v>4.5466442674225408E-4</v>
      </c>
      <c r="L117" s="18">
        <f>2*Ron_l*0.001*'Efficiency Summary'!$B$79*'Efficiency Summary'!$B$77*(Vin-Vout)/(3*Vin)</f>
        <v>2.5096522000000007E-3</v>
      </c>
      <c r="M117" s="18">
        <f>+'Power Loss'!$B$67*0.000000001*Vin^2*2*'Efficiency Summary'!B117*Vout*(Vin-Vout)/(Lout*0.000001*'Power Loss'!$B$79*'Efficiency Summary'!$B$77^2)</f>
        <v>8.4025900481349573E-4</v>
      </c>
      <c r="N117" s="18">
        <f>+$K$77*$K$78*0.000000001*2*B117*Vout*(Vin-Vout)/('Efficiency Summary'!$B$77^2*Lout*0.000001*Vin)</f>
        <v>1.8606687000000002E-4</v>
      </c>
      <c r="O117" s="18">
        <f t="shared" si="16"/>
        <v>6.9097916666666665E-5</v>
      </c>
      <c r="P117" s="18">
        <f t="shared" si="17"/>
        <v>1.7266799999999998E-3</v>
      </c>
      <c r="Q117" s="39">
        <f>+B117*Vout*100/(Vout*'Efficiency Summary'!B117+SUM('Efficiency Summary'!G117:P117))</f>
        <v>97.108557293351708</v>
      </c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s="38" customFormat="1" ht="12.95" customHeight="1">
      <c r="A118" s="18">
        <f t="shared" si="18"/>
        <v>35</v>
      </c>
      <c r="B118" s="18">
        <f t="shared" si="13"/>
        <v>0.17582500000000001</v>
      </c>
      <c r="C118" s="39">
        <f t="shared" si="11"/>
        <v>5.8823529411764692E-6</v>
      </c>
      <c r="D118" s="39">
        <f t="shared" si="12"/>
        <v>3.0303030303030301E-6</v>
      </c>
      <c r="E118" s="39">
        <f t="shared" si="19"/>
        <v>112200.00000000001</v>
      </c>
      <c r="F118" s="39">
        <f t="shared" si="14"/>
        <v>0.10467964990817337</v>
      </c>
      <c r="G118" s="39">
        <f>+DCR*0.001*2*'Efficiency Summary'!B118*'Efficiency Summary'!$B$77/3</f>
        <v>2.3443333333333333E-3</v>
      </c>
      <c r="H118" s="39">
        <f t="shared" si="15"/>
        <v>5.8608333333333331E-4</v>
      </c>
      <c r="I118" s="18">
        <f>2*Ron_u*0.001*'Efficiency Summary'!B118*'Efficiency Summary'!$B$77*Vout/(3*Vin)</f>
        <v>7.9150085299999982E-3</v>
      </c>
      <c r="J118" s="39">
        <f>+B118*(Vout*(Vin-Vout)/('Efficiency Summary'!$B$77*Lout*0.000001))*'Power Loss'!$B$53*0.000000001</f>
        <v>2.9591347500000013E-4</v>
      </c>
      <c r="K118" s="18">
        <f>+'Power Loss'!$B$50*0.000000001*Vin^2*2*'Efficiency Summary'!B118*Vout*(Vin-Vout)/(Lout*0.000001*'Power Loss'!$B$79*'Efficiency Summary'!$B$77^2)</f>
        <v>4.8205368487928856E-4</v>
      </c>
      <c r="L118" s="18">
        <f>2*Ron_l*0.001*'Efficiency Summary'!$B$79*'Efficiency Summary'!$B$77*(Vin-Vout)/(3*Vin)</f>
        <v>2.5096522000000007E-3</v>
      </c>
      <c r="M118" s="18">
        <f>+'Power Loss'!$B$67*0.000000001*Vin^2*2*'Efficiency Summary'!B118*Vout*(Vin-Vout)/(Lout*0.000001*'Power Loss'!$B$79*'Efficiency Summary'!$B$77^2)</f>
        <v>8.9087671192048066E-4</v>
      </c>
      <c r="N118" s="18">
        <f>+$K$77*$K$78*0.000000001*2*B118*Vout*(Vin-Vout)/('Efficiency Summary'!$B$77^2*Lout*0.000001*Vin)</f>
        <v>1.9727565000000004E-4</v>
      </c>
      <c r="O118" s="18">
        <f t="shared" si="16"/>
        <v>7.3260416666666664E-5</v>
      </c>
      <c r="P118" s="18">
        <f t="shared" si="17"/>
        <v>1.8066000000000002E-3</v>
      </c>
      <c r="Q118" s="39">
        <f>+B118*Vout*100/(Vout*'Efficiency Summary'!B118+SUM('Efficiency Summary'!G118:P118))</f>
        <v>97.137052921296657</v>
      </c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s="38" customFormat="1" ht="12.95" customHeight="1">
      <c r="A119" s="18">
        <f t="shared" si="18"/>
        <v>37</v>
      </c>
      <c r="B119" s="18">
        <f t="shared" si="13"/>
        <v>0.18581500000000001</v>
      </c>
      <c r="C119" s="39">
        <f t="shared" si="11"/>
        <v>5.8823529411764692E-6</v>
      </c>
      <c r="D119" s="39">
        <f t="shared" si="12"/>
        <v>3.0303030303030301E-6</v>
      </c>
      <c r="E119" s="39">
        <f t="shared" si="19"/>
        <v>112200.00000000001</v>
      </c>
      <c r="F119" s="39">
        <f t="shared" si="14"/>
        <v>0.10721815569329735</v>
      </c>
      <c r="G119" s="39">
        <f>+DCR*0.001*2*'Efficiency Summary'!B119*'Efficiency Summary'!$B$77/3</f>
        <v>2.4775333333333332E-3</v>
      </c>
      <c r="H119" s="39">
        <f t="shared" si="15"/>
        <v>6.1938333333333331E-4</v>
      </c>
      <c r="I119" s="18">
        <f>2*Ron_u*0.001*'Efficiency Summary'!B119*'Efficiency Summary'!$B$77*Vout/(3*Vin)</f>
        <v>8.3647223659999992E-3</v>
      </c>
      <c r="J119" s="39">
        <f>+B119*(Vout*(Vin-Vout)/('Efficiency Summary'!$B$77*Lout*0.000001))*'Power Loss'!$B$53*0.000000001</f>
        <v>3.1272664500000012E-4</v>
      </c>
      <c r="K119" s="18">
        <f>+'Power Loss'!$B$50*0.000000001*Vin^2*2*'Efficiency Summary'!B119*Vout*(Vin-Vout)/(Lout*0.000001*'Power Loss'!$B$79*'Efficiency Summary'!$B$77^2)</f>
        <v>5.0944294301632305E-4</v>
      </c>
      <c r="L119" s="18">
        <f>2*Ron_l*0.001*'Efficiency Summary'!$B$79*'Efficiency Summary'!$B$77*(Vin-Vout)/(3*Vin)</f>
        <v>2.5096522000000007E-3</v>
      </c>
      <c r="M119" s="18">
        <f>+'Power Loss'!$B$67*0.000000001*Vin^2*2*'Efficiency Summary'!B119*Vout*(Vin-Vout)/(Lout*0.000001*'Power Loss'!$B$79*'Efficiency Summary'!$B$77^2)</f>
        <v>9.4149441902746536E-4</v>
      </c>
      <c r="N119" s="18">
        <f>+$K$77*$K$78*0.000000001*2*B119*Vout*(Vin-Vout)/('Efficiency Summary'!$B$77^2*Lout*0.000001*Vin)</f>
        <v>2.0848443000000004E-4</v>
      </c>
      <c r="O119" s="18">
        <f t="shared" si="16"/>
        <v>7.7422916666666664E-5</v>
      </c>
      <c r="P119" s="18">
        <f t="shared" si="17"/>
        <v>1.88652E-3</v>
      </c>
      <c r="Q119" s="39">
        <f>+B119*Vout*100/(Vout*'Efficiency Summary'!B119+SUM('Efficiency Summary'!G119:P119))</f>
        <v>97.16249864632691</v>
      </c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s="38" customFormat="1" ht="12.95" customHeight="1">
      <c r="A120" s="18">
        <f t="shared" si="18"/>
        <v>39</v>
      </c>
      <c r="B120" s="18">
        <f t="shared" si="13"/>
        <v>0.19580500000000001</v>
      </c>
      <c r="C120" s="39">
        <f t="shared" si="11"/>
        <v>5.8823529411764692E-6</v>
      </c>
      <c r="D120" s="39">
        <f t="shared" si="12"/>
        <v>3.0303030303030301E-6</v>
      </c>
      <c r="E120" s="39">
        <f t="shared" si="19"/>
        <v>112200.00000000001</v>
      </c>
      <c r="F120" s="39">
        <f t="shared" si="14"/>
        <v>0.10939008627180975</v>
      </c>
      <c r="G120" s="39">
        <f>+DCR*0.001*2*'Efficiency Summary'!B120*'Efficiency Summary'!$B$77/3</f>
        <v>2.6107333333333337E-3</v>
      </c>
      <c r="H120" s="39">
        <f t="shared" si="15"/>
        <v>6.5268333333333341E-4</v>
      </c>
      <c r="I120" s="18">
        <f>2*Ron_u*0.001*'Efficiency Summary'!B120*'Efficiency Summary'!$B$77*Vout/(3*Vin)</f>
        <v>8.8144362020000002E-3</v>
      </c>
      <c r="J120" s="39">
        <f>+B120*(Vout*(Vin-Vout)/('Efficiency Summary'!$B$77*Lout*0.000001))*'Power Loss'!$B$53*0.000000001</f>
        <v>3.2953981500000005E-4</v>
      </c>
      <c r="K120" s="18">
        <f>+'Power Loss'!$B$50*0.000000001*Vin^2*2*'Efficiency Summary'!B120*Vout*(Vin-Vout)/(Lout*0.000001*'Power Loss'!$B$79*'Efficiency Summary'!$B$77^2)</f>
        <v>5.3683220115335753E-4</v>
      </c>
      <c r="L120" s="18">
        <f>2*Ron_l*0.001*'Efficiency Summary'!$B$79*'Efficiency Summary'!$B$77*(Vin-Vout)/(3*Vin)</f>
        <v>2.5096522000000007E-3</v>
      </c>
      <c r="M120" s="18">
        <f>+'Power Loss'!$B$67*0.000000001*Vin^2*2*'Efficiency Summary'!B120*Vout*(Vin-Vout)/(Lout*0.000001*'Power Loss'!$B$79*'Efficiency Summary'!$B$77^2)</f>
        <v>9.9211212613445018E-4</v>
      </c>
      <c r="N120" s="18">
        <f>+$K$77*$K$78*0.000000001*2*B120*Vout*(Vin-Vout)/('Efficiency Summary'!$B$77^2*Lout*0.000001*Vin)</f>
        <v>2.1969321000000005E-4</v>
      </c>
      <c r="O120" s="18">
        <f t="shared" si="16"/>
        <v>8.1585416666666677E-5</v>
      </c>
      <c r="P120" s="18">
        <f t="shared" si="17"/>
        <v>1.9664399999999999E-3</v>
      </c>
      <c r="Q120" s="39">
        <f>+B120*Vout*100/(Vout*'Efficiency Summary'!B120+SUM('Efficiency Summary'!G120:P120))</f>
        <v>97.185359245004477</v>
      </c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s="38" customFormat="1" ht="12.95" customHeight="1">
      <c r="A121" s="18">
        <f t="shared" si="18"/>
        <v>41</v>
      </c>
      <c r="B121" s="18">
        <f t="shared" si="13"/>
        <v>0.20579500000000001</v>
      </c>
      <c r="C121" s="39">
        <f t="shared" si="11"/>
        <v>5.8823529411764692E-6</v>
      </c>
      <c r="D121" s="39">
        <f t="shared" si="12"/>
        <v>3.0303030303030301E-6</v>
      </c>
      <c r="E121" s="39">
        <f t="shared" si="19"/>
        <v>112200.00000000001</v>
      </c>
      <c r="F121" s="39">
        <f t="shared" si="14"/>
        <v>0.1111954416437106</v>
      </c>
      <c r="G121" s="39">
        <f>+DCR*0.001*2*'Efficiency Summary'!B121*'Efficiency Summary'!$B$77/3</f>
        <v>2.7439333333333336E-3</v>
      </c>
      <c r="H121" s="39">
        <f t="shared" si="15"/>
        <v>6.8598333333333341E-4</v>
      </c>
      <c r="I121" s="18">
        <f>2*Ron_u*0.001*'Efficiency Summary'!B121*'Efficiency Summary'!$B$77*Vout/(3*Vin)</f>
        <v>9.2641500379999978E-3</v>
      </c>
      <c r="J121" s="39">
        <f>+B121*(Vout*(Vin-Vout)/('Efficiency Summary'!$B$77*Lout*0.000001))*'Power Loss'!$B$53*0.000000001</f>
        <v>3.4635298500000015E-4</v>
      </c>
      <c r="K121" s="18">
        <f>+'Power Loss'!$B$50*0.000000001*Vin^2*2*'Efficiency Summary'!B121*Vout*(Vin-Vout)/(Lout*0.000001*'Power Loss'!$B$79*'Efficiency Summary'!$B$77^2)</f>
        <v>5.6422145929039213E-4</v>
      </c>
      <c r="L121" s="18">
        <f>2*Ron_l*0.001*'Efficiency Summary'!$B$79*'Efficiency Summary'!$B$77*(Vin-Vout)/(3*Vin)</f>
        <v>2.5096522000000007E-3</v>
      </c>
      <c r="M121" s="18">
        <f>+'Power Loss'!$B$67*0.000000001*Vin^2*2*'Efficiency Summary'!B121*Vout*(Vin-Vout)/(Lout*0.000001*'Power Loss'!$B$79*'Efficiency Summary'!$B$77^2)</f>
        <v>1.0427298332414349E-3</v>
      </c>
      <c r="N121" s="18">
        <f>+$K$77*$K$78*0.000000001*2*B121*Vout*(Vin-Vout)/('Efficiency Summary'!$B$77^2*Lout*0.000001*Vin)</f>
        <v>2.3090198999999999E-4</v>
      </c>
      <c r="O121" s="18">
        <f t="shared" si="16"/>
        <v>8.5747916666666676E-5</v>
      </c>
      <c r="P121" s="18">
        <f t="shared" si="17"/>
        <v>2.0463599999999997E-3</v>
      </c>
      <c r="Q121" s="39">
        <f>+B121*Vout*100/(Vout*'Efficiency Summary'!B121+SUM('Efficiency Summary'!G121:P121))</f>
        <v>97.206009622308741</v>
      </c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s="38" customFormat="1" ht="12.95" customHeight="1">
      <c r="A122" s="18">
        <f t="shared" si="18"/>
        <v>43</v>
      </c>
      <c r="B122" s="18">
        <f t="shared" si="13"/>
        <v>0.215785</v>
      </c>
      <c r="C122" s="39">
        <f t="shared" si="11"/>
        <v>5.8823529411764692E-6</v>
      </c>
      <c r="D122" s="39">
        <f t="shared" si="12"/>
        <v>3.0303030303030301E-6</v>
      </c>
      <c r="E122" s="39">
        <f t="shared" si="19"/>
        <v>112200.00000000001</v>
      </c>
      <c r="F122" s="39">
        <f t="shared" si="14"/>
        <v>0.11263422180899987</v>
      </c>
      <c r="G122" s="39">
        <f>+DCR*0.001*2*'Efficiency Summary'!B122*'Efficiency Summary'!$B$77/3</f>
        <v>2.8771333333333336E-3</v>
      </c>
      <c r="H122" s="39">
        <f t="shared" si="15"/>
        <v>7.1928333333333341E-4</v>
      </c>
      <c r="I122" s="18">
        <f>2*Ron_u*0.001*'Efficiency Summary'!B122*'Efficiency Summary'!$B$77*Vout/(3*Vin)</f>
        <v>9.713863873999997E-3</v>
      </c>
      <c r="J122" s="39">
        <f>+B122*(Vout*(Vin-Vout)/('Efficiency Summary'!$B$77*Lout*0.000001))*'Power Loss'!$B$53*0.000000001</f>
        <v>3.6316615500000008E-4</v>
      </c>
      <c r="K122" s="18">
        <f>+'Power Loss'!$B$50*0.000000001*Vin^2*2*'Efficiency Summary'!B122*Vout*(Vin-Vout)/(Lout*0.000001*'Power Loss'!$B$79*'Efficiency Summary'!$B$77^2)</f>
        <v>5.9161071742742661E-4</v>
      </c>
      <c r="L122" s="18">
        <f>2*Ron_l*0.001*'Efficiency Summary'!$B$79*'Efficiency Summary'!$B$77*(Vin-Vout)/(3*Vin)</f>
        <v>2.5096522000000007E-3</v>
      </c>
      <c r="M122" s="18">
        <f>+'Power Loss'!$B$67*0.000000001*Vin^2*2*'Efficiency Summary'!B122*Vout*(Vin-Vout)/(Lout*0.000001*'Power Loss'!$B$79*'Efficiency Summary'!$B$77^2)</f>
        <v>1.0933475403484196E-3</v>
      </c>
      <c r="N122" s="18">
        <f>+$K$77*$K$78*0.000000001*2*B122*Vout*(Vin-Vout)/('Efficiency Summary'!$B$77^2*Lout*0.000001*Vin)</f>
        <v>2.4211077000000001E-4</v>
      </c>
      <c r="O122" s="18">
        <f t="shared" si="16"/>
        <v>8.9910416666666676E-5</v>
      </c>
      <c r="P122" s="18">
        <f t="shared" si="17"/>
        <v>2.1262799999999995E-3</v>
      </c>
      <c r="Q122" s="39">
        <f>+B122*Vout*100/(Vout*'Efficiency Summary'!B122+SUM('Efficiency Summary'!G122:P122))</f>
        <v>97.224755532501632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s="38" customFormat="1" ht="12.95" customHeight="1">
      <c r="A123" s="18">
        <f t="shared" si="18"/>
        <v>45</v>
      </c>
      <c r="B123" s="18">
        <f t="shared" si="13"/>
        <v>0.225775</v>
      </c>
      <c r="C123" s="39">
        <f t="shared" si="11"/>
        <v>5.8823529411764692E-6</v>
      </c>
      <c r="D123" s="39">
        <f t="shared" si="12"/>
        <v>3.0303030303030301E-6</v>
      </c>
      <c r="E123" s="39">
        <f t="shared" si="19"/>
        <v>112200.00000000001</v>
      </c>
      <c r="F123" s="39">
        <f t="shared" si="14"/>
        <v>0.11370642676767756</v>
      </c>
      <c r="G123" s="39">
        <f>+DCR*0.001*2*'Efficiency Summary'!B123*'Efficiency Summary'!$B$77/3</f>
        <v>3.0103333333333336E-3</v>
      </c>
      <c r="H123" s="39">
        <f t="shared" si="15"/>
        <v>7.525833333333334E-4</v>
      </c>
      <c r="I123" s="18">
        <f>2*Ron_u*0.001*'Efficiency Summary'!B123*'Efficiency Summary'!$B$77*Vout/(3*Vin)</f>
        <v>1.016357771E-2</v>
      </c>
      <c r="J123" s="39">
        <f>+B123*(Vout*(Vin-Vout)/('Efficiency Summary'!$B$77*Lout*0.000001))*'Power Loss'!$B$53*0.000000001</f>
        <v>3.7997932500000007E-4</v>
      </c>
      <c r="K123" s="18">
        <f>+'Power Loss'!$B$50*0.000000001*Vin^2*2*'Efficiency Summary'!B123*Vout*(Vin-Vout)/(Lout*0.000001*'Power Loss'!$B$79*'Efficiency Summary'!$B$77^2)</f>
        <v>6.1899997556446121E-4</v>
      </c>
      <c r="L123" s="18">
        <f>2*Ron_l*0.001*'Efficiency Summary'!$B$79*'Efficiency Summary'!$B$77*(Vin-Vout)/(3*Vin)</f>
        <v>2.5096522000000007E-3</v>
      </c>
      <c r="M123" s="18">
        <f>+'Power Loss'!$B$67*0.000000001*Vin^2*2*'Efficiency Summary'!B123*Vout*(Vin-Vout)/(Lout*0.000001*'Power Loss'!$B$79*'Efficiency Summary'!$B$77^2)</f>
        <v>1.1439652474554045E-3</v>
      </c>
      <c r="N123" s="18">
        <f>+$K$77*$K$78*0.000000001*2*B123*Vout*(Vin-Vout)/('Efficiency Summary'!$B$77^2*Lout*0.000001*Vin)</f>
        <v>2.5331955000000003E-4</v>
      </c>
      <c r="O123" s="18">
        <f t="shared" si="16"/>
        <v>9.4072916666666675E-5</v>
      </c>
      <c r="P123" s="18">
        <f t="shared" si="17"/>
        <v>2.2061999999999997E-3</v>
      </c>
      <c r="Q123" s="39">
        <f>+B123*Vout*100/(Vout*'Efficiency Summary'!B123+SUM('Efficiency Summary'!G123:P123))</f>
        <v>97.241848819793248</v>
      </c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s="38" customFormat="1" ht="12.95" customHeight="1">
      <c r="A124" s="18">
        <f t="shared" si="18"/>
        <v>47</v>
      </c>
      <c r="B124" s="18">
        <f t="shared" si="13"/>
        <v>0.235765</v>
      </c>
      <c r="C124" s="39">
        <f t="shared" si="11"/>
        <v>5.8823529411764692E-6</v>
      </c>
      <c r="D124" s="39">
        <f t="shared" si="12"/>
        <v>3.0303030303030301E-6</v>
      </c>
      <c r="E124" s="39">
        <f t="shared" si="19"/>
        <v>112200.00000000001</v>
      </c>
      <c r="F124" s="39">
        <f t="shared" si="14"/>
        <v>0.11441205651974369</v>
      </c>
      <c r="G124" s="39">
        <f>+DCR*0.001*2*'Efficiency Summary'!B124*'Efficiency Summary'!$B$77/3</f>
        <v>3.1435333333333336E-3</v>
      </c>
      <c r="H124" s="39">
        <f t="shared" si="15"/>
        <v>7.858833333333334E-4</v>
      </c>
      <c r="I124" s="18">
        <f>2*Ron_u*0.001*'Efficiency Summary'!B124*'Efficiency Summary'!$B$77*Vout/(3*Vin)</f>
        <v>1.0613291545999997E-2</v>
      </c>
      <c r="J124" s="39">
        <f>+B124*(Vout*(Vin-Vout)/('Efficiency Summary'!$B$77*Lout*0.000001))*'Power Loss'!$B$53*0.000000001</f>
        <v>3.9679249500000011E-4</v>
      </c>
      <c r="K124" s="18">
        <f>+'Power Loss'!$B$50*0.000000001*Vin^2*2*'Efficiency Summary'!B124*Vout*(Vin-Vout)/(Lout*0.000001*'Power Loss'!$B$79*'Efficiency Summary'!$B$77^2)</f>
        <v>6.4638923370149569E-4</v>
      </c>
      <c r="L124" s="18">
        <f>2*Ron_l*0.001*'Efficiency Summary'!$B$79*'Efficiency Summary'!$B$77*(Vin-Vout)/(3*Vin)</f>
        <v>2.5096522000000007E-3</v>
      </c>
      <c r="M124" s="18">
        <f>+'Power Loss'!$B$67*0.000000001*Vin^2*2*'Efficiency Summary'!B124*Vout*(Vin-Vout)/(Lout*0.000001*'Power Loss'!$B$79*'Efficiency Summary'!$B$77^2)</f>
        <v>1.1945829545623892E-3</v>
      </c>
      <c r="N124" s="18">
        <f>+$K$77*$K$78*0.000000001*2*B124*Vout*(Vin-Vout)/('Efficiency Summary'!$B$77^2*Lout*0.000001*Vin)</f>
        <v>2.6452833000000002E-4</v>
      </c>
      <c r="O124" s="18">
        <f t="shared" si="16"/>
        <v>9.8235416666666675E-5</v>
      </c>
      <c r="P124" s="18">
        <f t="shared" si="17"/>
        <v>2.2861199999999996E-3</v>
      </c>
      <c r="Q124" s="39">
        <f>+B124*Vout*100/(Vout*'Efficiency Summary'!B124+SUM('Efficiency Summary'!G124:P124))</f>
        <v>97.257498798371572</v>
      </c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s="38" customFormat="1" ht="12.95" customHeight="1">
      <c r="A125" s="18">
        <f t="shared" si="18"/>
        <v>49</v>
      </c>
      <c r="B125" s="18">
        <f t="shared" si="13"/>
        <v>0.24575500000000003</v>
      </c>
      <c r="C125" s="39">
        <f t="shared" si="11"/>
        <v>5.8823529411764692E-6</v>
      </c>
      <c r="D125" s="39">
        <f t="shared" si="12"/>
        <v>3.0303030303030301E-6</v>
      </c>
      <c r="E125" s="39">
        <f t="shared" si="19"/>
        <v>112200.00000000001</v>
      </c>
      <c r="F125" s="39">
        <f t="shared" si="14"/>
        <v>0.11475111106519821</v>
      </c>
      <c r="G125" s="39">
        <f>+DCR*0.001*2*'Efficiency Summary'!B125*'Efficiency Summary'!$B$77/3</f>
        <v>3.2767333333333336E-3</v>
      </c>
      <c r="H125" s="39">
        <f t="shared" si="15"/>
        <v>8.191833333333334E-4</v>
      </c>
      <c r="I125" s="18">
        <f>2*Ron_u*0.001*'Efficiency Summary'!B125*'Efficiency Summary'!$B$77*Vout/(3*Vin)</f>
        <v>1.1063005381999998E-2</v>
      </c>
      <c r="J125" s="39">
        <f>+B125*(Vout*(Vin-Vout)/('Efficiency Summary'!$B$77*Lout*0.000001))*'Power Loss'!$B$53*0.000000001</f>
        <v>4.1360566500000016E-4</v>
      </c>
      <c r="K125" s="18">
        <f>+'Power Loss'!$B$50*0.000000001*Vin^2*2*'Efficiency Summary'!B125*Vout*(Vin-Vout)/(Lout*0.000001*'Power Loss'!$B$79*'Efficiency Summary'!$B$77^2)</f>
        <v>6.7377849183853028E-4</v>
      </c>
      <c r="L125" s="18">
        <f>2*Ron_l*0.001*'Efficiency Summary'!$B$79*'Efficiency Summary'!$B$77*(Vin-Vout)/(3*Vin)</f>
        <v>2.5096522000000007E-3</v>
      </c>
      <c r="M125" s="18">
        <f>+'Power Loss'!$B$67*0.000000001*Vin^2*2*'Efficiency Summary'!B125*Vout*(Vin-Vout)/(Lout*0.000001*'Power Loss'!$B$79*'Efficiency Summary'!$B$77^2)</f>
        <v>1.2452006616693744E-3</v>
      </c>
      <c r="N125" s="18">
        <f>+$K$77*$K$78*0.000000001*2*B125*Vout*(Vin-Vout)/('Efficiency Summary'!$B$77^2*Lout*0.000001*Vin)</f>
        <v>2.7573711000000007E-4</v>
      </c>
      <c r="O125" s="18">
        <f t="shared" si="16"/>
        <v>1.0239791666666667E-4</v>
      </c>
      <c r="P125" s="18">
        <f t="shared" si="17"/>
        <v>2.3660400000000002E-3</v>
      </c>
      <c r="Q125" s="39">
        <f>+B125*Vout*100/(Vout*'Efficiency Summary'!B125+SUM('Efficiency Summary'!G125:P125))</f>
        <v>97.271880866513186</v>
      </c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s="38" customFormat="1" ht="12.95" customHeight="1">
      <c r="A126" s="18">
        <f t="shared" si="18"/>
        <v>51</v>
      </c>
      <c r="B126" s="18">
        <f t="shared" si="13"/>
        <v>0.255745</v>
      </c>
      <c r="C126" s="39">
        <f t="shared" si="11"/>
        <v>5.8823529411764692E-6</v>
      </c>
      <c r="D126" s="39">
        <f t="shared" si="12"/>
        <v>3.0303030303030301E-6</v>
      </c>
      <c r="E126" s="39">
        <f t="shared" si="19"/>
        <v>112200.00000000001</v>
      </c>
      <c r="F126" s="39">
        <f t="shared" si="14"/>
        <v>0.1147235904040412</v>
      </c>
      <c r="G126" s="39">
        <f>+DCR*0.001*2*'Efficiency Summary'!B126*'Efficiency Summary'!$B$77/3</f>
        <v>3.4099333333333336E-3</v>
      </c>
      <c r="H126" s="39">
        <f t="shared" si="15"/>
        <v>8.5248333333333339E-4</v>
      </c>
      <c r="I126" s="18">
        <f>2*Ron_u*0.001*'Efficiency Summary'!B126*'Efficiency Summary'!$B$77*Vout/(3*Vin)</f>
        <v>1.1512719217999999E-2</v>
      </c>
      <c r="J126" s="39">
        <f>+B126*(Vout*(Vin-Vout)/('Efficiency Summary'!$B$77*Lout*0.000001))*'Power Loss'!$B$53*0.000000001</f>
        <v>4.3041883500000009E-4</v>
      </c>
      <c r="K126" s="18">
        <f>+'Power Loss'!$B$50*0.000000001*Vin^2*2*'Efficiency Summary'!B126*Vout*(Vin-Vout)/(Lout*0.000001*'Power Loss'!$B$79*'Efficiency Summary'!$B$77^2)</f>
        <v>7.0116774997556466E-4</v>
      </c>
      <c r="L126" s="18">
        <f>2*Ron_l*0.001*'Efficiency Summary'!$B$79*'Efficiency Summary'!$B$77*(Vin-Vout)/(3*Vin)</f>
        <v>2.5096522000000007E-3</v>
      </c>
      <c r="M126" s="18">
        <f>+'Power Loss'!$B$67*0.000000001*Vin^2*2*'Efficiency Summary'!B126*Vout*(Vin-Vout)/(Lout*0.000001*'Power Loss'!$B$79*'Efficiency Summary'!$B$77^2)</f>
        <v>1.2958183687763589E-3</v>
      </c>
      <c r="N126" s="18">
        <f>+$K$77*$K$78*0.000000001*2*B126*Vout*(Vin-Vout)/('Efficiency Summary'!$B$77^2*Lout*0.000001*Vin)</f>
        <v>2.8694589000000006E-4</v>
      </c>
      <c r="O126" s="18">
        <f t="shared" si="16"/>
        <v>1.0656041666666667E-4</v>
      </c>
      <c r="P126" s="18">
        <f t="shared" si="17"/>
        <v>2.4459599999999996E-3</v>
      </c>
      <c r="Q126" s="39">
        <f>+B126*Vout*100/(Vout*'Efficiency Summary'!B126+SUM('Efficiency Summary'!G126:P126))</f>
        <v>97.285143108541192</v>
      </c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s="38" customFormat="1" ht="12.95" customHeight="1">
      <c r="A127" s="18">
        <f t="shared" si="18"/>
        <v>53</v>
      </c>
      <c r="B127" s="18">
        <f t="shared" si="13"/>
        <v>0.265735</v>
      </c>
      <c r="C127" s="39">
        <f t="shared" si="11"/>
        <v>5.8823529411764692E-6</v>
      </c>
      <c r="D127" s="39">
        <f t="shared" si="12"/>
        <v>3.0303030303030301E-6</v>
      </c>
      <c r="E127" s="39">
        <f t="shared" si="19"/>
        <v>112200.00000000001</v>
      </c>
      <c r="F127" s="39">
        <f t="shared" si="14"/>
        <v>0.11432949453627261</v>
      </c>
      <c r="G127" s="39">
        <f>+DCR*0.001*2*'Efficiency Summary'!B127*'Efficiency Summary'!$B$77/3</f>
        <v>3.5431333333333336E-3</v>
      </c>
      <c r="H127" s="39">
        <f t="shared" si="15"/>
        <v>8.8578333333333339E-4</v>
      </c>
      <c r="I127" s="18">
        <f>2*Ron_u*0.001*'Efficiency Summary'!B127*'Efficiency Summary'!$B$77*Vout/(3*Vin)</f>
        <v>1.1962433053999997E-2</v>
      </c>
      <c r="J127" s="39">
        <f>+B127*(Vout*(Vin-Vout)/('Efficiency Summary'!$B$77*Lout*0.000001))*'Power Loss'!$B$53*0.000000001</f>
        <v>4.4723200500000008E-4</v>
      </c>
      <c r="K127" s="18">
        <f>+'Power Loss'!$B$50*0.000000001*Vin^2*2*'Efficiency Summary'!B127*Vout*(Vin-Vout)/(Lout*0.000001*'Power Loss'!$B$79*'Efficiency Summary'!$B$77^2)</f>
        <v>7.2855700811259904E-4</v>
      </c>
      <c r="L127" s="18">
        <f>2*Ron_l*0.001*'Efficiency Summary'!$B$79*'Efficiency Summary'!$B$77*(Vin-Vout)/(3*Vin)</f>
        <v>2.5096522000000007E-3</v>
      </c>
      <c r="M127" s="18">
        <f>+'Power Loss'!$B$67*0.000000001*Vin^2*2*'Efficiency Summary'!B127*Vout*(Vin-Vout)/(Lout*0.000001*'Power Loss'!$B$79*'Efficiency Summary'!$B$77^2)</f>
        <v>1.3464360758833438E-3</v>
      </c>
      <c r="N127" s="18">
        <f>+$K$77*$K$78*0.000000001*2*B127*Vout*(Vin-Vout)/('Efficiency Summary'!$B$77^2*Lout*0.000001*Vin)</f>
        <v>2.9815467E-4</v>
      </c>
      <c r="O127" s="18">
        <f t="shared" si="16"/>
        <v>1.1072291666666667E-4</v>
      </c>
      <c r="P127" s="18">
        <f t="shared" si="17"/>
        <v>2.5258799999999999E-3</v>
      </c>
      <c r="Q127" s="39">
        <f>+B127*Vout*100/(Vout*'Efficiency Summary'!B127+SUM('Efficiency Summary'!G127:P127))</f>
        <v>97.297411412432709</v>
      </c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s="38" customFormat="1" ht="12.95" customHeight="1">
      <c r="A128" s="18">
        <f t="shared" si="18"/>
        <v>55</v>
      </c>
      <c r="B128" s="18">
        <f t="shared" si="13"/>
        <v>0.275725</v>
      </c>
      <c r="C128" s="39">
        <f t="shared" si="11"/>
        <v>5.8823529411764692E-6</v>
      </c>
      <c r="D128" s="39">
        <f t="shared" si="12"/>
        <v>3.0303030303030301E-6</v>
      </c>
      <c r="E128" s="39">
        <f t="shared" si="19"/>
        <v>112200.00000000001</v>
      </c>
      <c r="F128" s="39">
        <f t="shared" si="14"/>
        <v>0.11356882346189244</v>
      </c>
      <c r="G128" s="39">
        <f>+DCR*0.001*2*'Efficiency Summary'!B128*'Efficiency Summary'!$B$77/3</f>
        <v>3.6763333333333335E-3</v>
      </c>
      <c r="H128" s="39">
        <f t="shared" si="15"/>
        <v>9.1908333333333338E-4</v>
      </c>
      <c r="I128" s="18">
        <f>2*Ron_u*0.001*'Efficiency Summary'!B128*'Efficiency Summary'!$B$77*Vout/(3*Vin)</f>
        <v>1.2412146889999998E-2</v>
      </c>
      <c r="J128" s="39">
        <f>+B128*(Vout*(Vin-Vout)/('Efficiency Summary'!$B$77*Lout*0.000001))*'Power Loss'!$B$53*0.000000001</f>
        <v>4.6404517500000012E-4</v>
      </c>
      <c r="K128" s="18">
        <f>+'Power Loss'!$B$50*0.000000001*Vin^2*2*'Efficiency Summary'!B128*Vout*(Vin-Vout)/(Lout*0.000001*'Power Loss'!$B$79*'Efficiency Summary'!$B$77^2)</f>
        <v>7.5594626624963363E-4</v>
      </c>
      <c r="L128" s="18">
        <f>2*Ron_l*0.001*'Efficiency Summary'!$B$79*'Efficiency Summary'!$B$77*(Vin-Vout)/(3*Vin)</f>
        <v>2.5096522000000007E-3</v>
      </c>
      <c r="M128" s="18">
        <f>+'Power Loss'!$B$67*0.000000001*Vin^2*2*'Efficiency Summary'!B128*Vout*(Vin-Vout)/(Lout*0.000001*'Power Loss'!$B$79*'Efficiency Summary'!$B$77^2)</f>
        <v>1.3970537829903283E-3</v>
      </c>
      <c r="N128" s="18">
        <f>+$K$77*$K$78*0.000000001*2*B128*Vout*(Vin-Vout)/('Efficiency Summary'!$B$77^2*Lout*0.000001*Vin)</f>
        <v>3.0936345000000004E-4</v>
      </c>
      <c r="O128" s="18">
        <f t="shared" si="16"/>
        <v>1.1488541666666667E-4</v>
      </c>
      <c r="P128" s="18">
        <f t="shared" si="17"/>
        <v>2.6058000000000001E-3</v>
      </c>
      <c r="Q128" s="39">
        <f>+B128*Vout*100/(Vout*'Efficiency Summary'!B128+SUM('Efficiency Summary'!G128:P128))</f>
        <v>97.308793478368926</v>
      </c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s="38" customFormat="1" ht="12.95" customHeight="1">
      <c r="A129" s="18">
        <f t="shared" si="18"/>
        <v>57</v>
      </c>
      <c r="B129" s="18">
        <f t="shared" si="13"/>
        <v>0.285715</v>
      </c>
      <c r="C129" s="39">
        <f t="shared" si="11"/>
        <v>5.8823529411764692E-6</v>
      </c>
      <c r="D129" s="39">
        <f t="shared" si="12"/>
        <v>3.0303030303030301E-6</v>
      </c>
      <c r="E129" s="39">
        <f t="shared" si="19"/>
        <v>112200.00000000001</v>
      </c>
      <c r="F129" s="39">
        <f t="shared" si="14"/>
        <v>0.1124415771809007</v>
      </c>
      <c r="G129" s="39">
        <f>+DCR*0.001*2*'Efficiency Summary'!B129*'Efficiency Summary'!$B$77/3</f>
        <v>3.8095333333333335E-3</v>
      </c>
      <c r="H129" s="39">
        <f t="shared" si="15"/>
        <v>9.5238333333333338E-4</v>
      </c>
      <c r="I129" s="18">
        <f>2*Ron_u*0.001*'Efficiency Summary'!B129*'Efficiency Summary'!$B$77*Vout/(3*Vin)</f>
        <v>1.2861860725999995E-2</v>
      </c>
      <c r="J129" s="39">
        <f>+B129*(Vout*(Vin-Vout)/('Efficiency Summary'!$B$77*Lout*0.000001))*'Power Loss'!$B$53*0.000000001</f>
        <v>4.8085834500000011E-4</v>
      </c>
      <c r="K129" s="18">
        <f>+'Power Loss'!$B$50*0.000000001*Vin^2*2*'Efficiency Summary'!B129*Vout*(Vin-Vout)/(Lout*0.000001*'Power Loss'!$B$79*'Efficiency Summary'!$B$77^2)</f>
        <v>7.8333552438666812E-4</v>
      </c>
      <c r="L129" s="18">
        <f>2*Ron_l*0.001*'Efficiency Summary'!$B$79*'Efficiency Summary'!$B$77*(Vin-Vout)/(3*Vin)</f>
        <v>2.5096522000000007E-3</v>
      </c>
      <c r="M129" s="18">
        <f>+'Power Loss'!$B$67*0.000000001*Vin^2*2*'Efficiency Summary'!B129*Vout*(Vin-Vout)/(Lout*0.000001*'Power Loss'!$B$79*'Efficiency Summary'!$B$77^2)</f>
        <v>1.4476714900973134E-3</v>
      </c>
      <c r="N129" s="18">
        <f>+$K$77*$K$78*0.000000001*2*B129*Vout*(Vin-Vout)/('Efficiency Summary'!$B$77^2*Lout*0.000001*Vin)</f>
        <v>3.2057223000000004E-4</v>
      </c>
      <c r="O129" s="18">
        <f t="shared" si="16"/>
        <v>1.1904791666666667E-4</v>
      </c>
      <c r="P129" s="18">
        <f t="shared" si="17"/>
        <v>2.6857199999999995E-3</v>
      </c>
      <c r="Q129" s="39">
        <f>+B129*Vout*100/(Vout*'Efficiency Summary'!B129+SUM('Efficiency Summary'!G129:P129))</f>
        <v>97.319381988859334</v>
      </c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s="38" customFormat="1" ht="12.95" customHeight="1">
      <c r="A130" s="18">
        <f t="shared" si="18"/>
        <v>59</v>
      </c>
      <c r="B130" s="18">
        <f t="shared" si="13"/>
        <v>0.295705</v>
      </c>
      <c r="C130" s="39">
        <f t="shared" si="11"/>
        <v>5.8823529411764692E-6</v>
      </c>
      <c r="D130" s="39">
        <f t="shared" si="12"/>
        <v>3.0303030303030301E-6</v>
      </c>
      <c r="E130" s="39">
        <f t="shared" si="19"/>
        <v>112200.00000000001</v>
      </c>
      <c r="F130" s="39">
        <f t="shared" si="14"/>
        <v>0.11094775569329737</v>
      </c>
      <c r="G130" s="39">
        <f>+DCR*0.001*2*'Efficiency Summary'!B130*'Efficiency Summary'!$B$77/3</f>
        <v>3.9427333333333335E-3</v>
      </c>
      <c r="H130" s="39">
        <f t="shared" si="15"/>
        <v>9.8568333333333338E-4</v>
      </c>
      <c r="I130" s="18">
        <f>2*Ron_u*0.001*'Efficiency Summary'!B130*'Efficiency Summary'!$B$77*Vout/(3*Vin)</f>
        <v>1.3311574561999997E-2</v>
      </c>
      <c r="J130" s="39">
        <f>+B130*(Vout*(Vin-Vout)/('Efficiency Summary'!$B$77*Lout*0.000001))*'Power Loss'!$B$53*0.000000001</f>
        <v>4.976715150000002E-4</v>
      </c>
      <c r="K130" s="18">
        <f>+'Power Loss'!$B$50*0.000000001*Vin^2*2*'Efficiency Summary'!B130*Vout*(Vin-Vout)/(Lout*0.000001*'Power Loss'!$B$79*'Efficiency Summary'!$B$77^2)</f>
        <v>8.1072478252370271E-4</v>
      </c>
      <c r="L130" s="18">
        <f>2*Ron_l*0.001*'Efficiency Summary'!$B$79*'Efficiency Summary'!$B$77*(Vin-Vout)/(3*Vin)</f>
        <v>2.5096522000000007E-3</v>
      </c>
      <c r="M130" s="18">
        <f>+'Power Loss'!$B$67*0.000000001*Vin^2*2*'Efficiency Summary'!B130*Vout*(Vin-Vout)/(Lout*0.000001*'Power Loss'!$B$79*'Efficiency Summary'!$B$77^2)</f>
        <v>1.4982891972042981E-3</v>
      </c>
      <c r="N130" s="18">
        <f>+$K$77*$K$78*0.000000001*2*B130*Vout*(Vin-Vout)/('Efficiency Summary'!$B$77^2*Lout*0.000001*Vin)</f>
        <v>3.3178100999999997E-4</v>
      </c>
      <c r="O130" s="18">
        <f t="shared" si="16"/>
        <v>1.2321041666666667E-4</v>
      </c>
      <c r="P130" s="18">
        <f t="shared" si="17"/>
        <v>2.7656399999999998E-3</v>
      </c>
      <c r="Q130" s="39">
        <f>+B130*Vout*100/(Vout*'Efficiency Summary'!B130+SUM('Efficiency Summary'!G130:P130))</f>
        <v>97.329257138139923</v>
      </c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s="38" customFormat="1" ht="12.95" customHeight="1">
      <c r="A131" s="18">
        <f t="shared" si="18"/>
        <v>61</v>
      </c>
      <c r="B131" s="18">
        <f t="shared" si="13"/>
        <v>0.30569499999999999</v>
      </c>
      <c r="C131" s="39">
        <f t="shared" si="11"/>
        <v>5.8823529411764692E-6</v>
      </c>
      <c r="D131" s="39">
        <f t="shared" si="12"/>
        <v>3.0303030303030301E-6</v>
      </c>
      <c r="E131" s="39">
        <f t="shared" si="19"/>
        <v>112200.00000000001</v>
      </c>
      <c r="F131" s="39">
        <f t="shared" si="14"/>
        <v>0.10908735899908249</v>
      </c>
      <c r="G131" s="39">
        <f>+DCR*0.001*2*'Efficiency Summary'!B131*'Efficiency Summary'!$B$77/3</f>
        <v>4.0759333333333335E-3</v>
      </c>
      <c r="H131" s="39">
        <f t="shared" si="15"/>
        <v>1.0189833333333334E-3</v>
      </c>
      <c r="I131" s="18">
        <f>2*Ron_u*0.001*'Efficiency Summary'!B131*'Efficiency Summary'!$B$77*Vout/(3*Vin)</f>
        <v>1.3761288397999998E-2</v>
      </c>
      <c r="J131" s="39">
        <f>+B131*(Vout*(Vin-Vout)/('Efficiency Summary'!$B$77*Lout*0.000001))*'Power Loss'!$B$53*0.000000001</f>
        <v>5.1448468500000014E-4</v>
      </c>
      <c r="K131" s="18">
        <f>+'Power Loss'!$B$50*0.000000001*Vin^2*2*'Efficiency Summary'!B131*Vout*(Vin-Vout)/(Lout*0.000001*'Power Loss'!$B$79*'Efficiency Summary'!$B$77^2)</f>
        <v>8.3811404066073719E-4</v>
      </c>
      <c r="L131" s="18">
        <f>2*Ron_l*0.001*'Efficiency Summary'!$B$79*'Efficiency Summary'!$B$77*(Vin-Vout)/(3*Vin)</f>
        <v>2.5096522000000007E-3</v>
      </c>
      <c r="M131" s="18">
        <f>+'Power Loss'!$B$67*0.000000001*Vin^2*2*'Efficiency Summary'!B131*Vout*(Vin-Vout)/(Lout*0.000001*'Power Loss'!$B$79*'Efficiency Summary'!$B$77^2)</f>
        <v>1.5489069043112826E-3</v>
      </c>
      <c r="N131" s="18">
        <f>+$K$77*$K$78*0.000000001*2*B131*Vout*(Vin-Vout)/('Efficiency Summary'!$B$77^2*Lout*0.000001*Vin)</f>
        <v>3.4298979000000002E-4</v>
      </c>
      <c r="O131" s="18">
        <f t="shared" si="16"/>
        <v>1.2737291666666667E-4</v>
      </c>
      <c r="P131" s="18">
        <f t="shared" si="17"/>
        <v>2.84556E-3</v>
      </c>
      <c r="Q131" s="39">
        <f>+B131*Vout*100/(Vout*'Efficiency Summary'!B131+SUM('Efficiency Summary'!G131:P131))</f>
        <v>97.338488667005251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s="38" customFormat="1" ht="12.95" customHeight="1">
      <c r="A132" s="18">
        <f t="shared" si="18"/>
        <v>63</v>
      </c>
      <c r="B132" s="18">
        <f t="shared" si="13"/>
        <v>0.31568499999999999</v>
      </c>
      <c r="C132" s="39">
        <f t="shared" si="11"/>
        <v>5.8823529411764692E-6</v>
      </c>
      <c r="D132" s="39">
        <f t="shared" si="12"/>
        <v>3.0303030303030301E-6</v>
      </c>
      <c r="E132" s="39">
        <f t="shared" si="19"/>
        <v>112200.00000000001</v>
      </c>
      <c r="F132" s="39">
        <f t="shared" si="14"/>
        <v>0.10686038709825603</v>
      </c>
      <c r="G132" s="39">
        <f>+DCR*0.001*2*'Efficiency Summary'!B132*'Efficiency Summary'!$B$77/3</f>
        <v>4.2091333333333335E-3</v>
      </c>
      <c r="H132" s="39">
        <f t="shared" si="15"/>
        <v>1.0522833333333334E-3</v>
      </c>
      <c r="I132" s="18">
        <f>2*Ron_u*0.001*'Efficiency Summary'!B132*'Efficiency Summary'!$B$77*Vout/(3*Vin)</f>
        <v>1.4211002233999997E-2</v>
      </c>
      <c r="J132" s="39">
        <f>+B132*(Vout*(Vin-Vout)/('Efficiency Summary'!$B$77*Lout*0.000001))*'Power Loss'!$B$53*0.000000001</f>
        <v>5.3129785500000018E-4</v>
      </c>
      <c r="K132" s="18">
        <f>+'Power Loss'!$B$50*0.000000001*Vin^2*2*'Efficiency Summary'!B132*Vout*(Vin-Vout)/(Lout*0.000001*'Power Loss'!$B$79*'Efficiency Summary'!$B$77^2)</f>
        <v>8.6550329879777179E-4</v>
      </c>
      <c r="L132" s="18">
        <f>2*Ron_l*0.001*'Efficiency Summary'!$B$79*'Efficiency Summary'!$B$77*(Vin-Vout)/(3*Vin)</f>
        <v>2.5096522000000007E-3</v>
      </c>
      <c r="M132" s="18">
        <f>+'Power Loss'!$B$67*0.000000001*Vin^2*2*'Efficiency Summary'!B132*Vout*(Vin-Vout)/(Lout*0.000001*'Power Loss'!$B$79*'Efficiency Summary'!$B$77^2)</f>
        <v>1.5995246114182677E-3</v>
      </c>
      <c r="N132" s="18">
        <f>+$K$77*$K$78*0.000000001*2*B132*Vout*(Vin-Vout)/('Efficiency Summary'!$B$77^2*Lout*0.000001*Vin)</f>
        <v>3.5419857000000001E-4</v>
      </c>
      <c r="O132" s="18">
        <f t="shared" si="16"/>
        <v>1.3153541666666667E-4</v>
      </c>
      <c r="P132" s="18">
        <f t="shared" si="17"/>
        <v>2.9254799999999994E-3</v>
      </c>
      <c r="Q132" s="39">
        <f>+B132*Vout*100/(Vout*'Efficiency Summary'!B132+SUM('Efficiency Summary'!G132:P132))</f>
        <v>97.347137512331571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s="38" customFormat="1" ht="12.95" customHeight="1">
      <c r="A133" s="18">
        <f t="shared" si="18"/>
        <v>65</v>
      </c>
      <c r="B133" s="18">
        <f t="shared" si="13"/>
        <v>0.32567500000000005</v>
      </c>
      <c r="C133" s="39">
        <f t="shared" si="11"/>
        <v>5.8823529411764692E-6</v>
      </c>
      <c r="D133" s="39">
        <f t="shared" si="12"/>
        <v>3.0303030303030301E-6</v>
      </c>
      <c r="E133" s="39">
        <f t="shared" si="19"/>
        <v>112200.00000000001</v>
      </c>
      <c r="F133" s="39">
        <f t="shared" si="14"/>
        <v>0.10426683999081797</v>
      </c>
      <c r="G133" s="39">
        <f>+DCR*0.001*2*'Efficiency Summary'!B133*'Efficiency Summary'!$B$77/3</f>
        <v>4.3423333333333343E-3</v>
      </c>
      <c r="H133" s="39">
        <f t="shared" si="15"/>
        <v>1.0855833333333336E-3</v>
      </c>
      <c r="I133" s="18">
        <f>2*Ron_u*0.001*'Efficiency Summary'!B133*'Efficiency Summary'!$B$77*Vout/(3*Vin)</f>
        <v>1.4660716069999998E-2</v>
      </c>
      <c r="J133" s="39">
        <f>+B133*(Vout*(Vin-Vout)/('Efficiency Summary'!$B$77*Lout*0.000001))*'Power Loss'!$B$53*0.000000001</f>
        <v>5.4811102500000033E-4</v>
      </c>
      <c r="K133" s="18">
        <f>+'Power Loss'!$B$50*0.000000001*Vin^2*2*'Efficiency Summary'!B133*Vout*(Vin-Vout)/(Lout*0.000001*'Power Loss'!$B$79*'Efficiency Summary'!$B$77^2)</f>
        <v>8.9289255693480638E-4</v>
      </c>
      <c r="L133" s="18">
        <f>2*Ron_l*0.001*'Efficiency Summary'!$B$79*'Efficiency Summary'!$B$77*(Vin-Vout)/(3*Vin)</f>
        <v>2.5096522000000007E-3</v>
      </c>
      <c r="M133" s="18">
        <f>+'Power Loss'!$B$67*0.000000001*Vin^2*2*'Efficiency Summary'!B133*Vout*(Vin-Vout)/(Lout*0.000001*'Power Loss'!$B$79*'Efficiency Summary'!$B$77^2)</f>
        <v>1.6501423185252527E-3</v>
      </c>
      <c r="N133" s="18">
        <f>+$K$77*$K$78*0.000000001*2*B133*Vout*(Vin-Vout)/('Efficiency Summary'!$B$77^2*Lout*0.000001*Vin)</f>
        <v>3.6540735000000011E-4</v>
      </c>
      <c r="O133" s="18">
        <f t="shared" si="16"/>
        <v>1.356979166666667E-4</v>
      </c>
      <c r="P133" s="18">
        <f t="shared" si="17"/>
        <v>3.0054000000000001E-3</v>
      </c>
      <c r="Q133" s="39">
        <f>+B133*Vout*100/(Vout*'Efficiency Summary'!B133+SUM('Efficiency Summary'!G133:P133))</f>
        <v>97.355257153807869</v>
      </c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spans="1:30" s="38" customFormat="1" ht="12.95" customHeight="1">
      <c r="A134" s="18">
        <f t="shared" si="18"/>
        <v>67</v>
      </c>
      <c r="B134" s="18">
        <f t="shared" si="13"/>
        <v>0.33566500000000005</v>
      </c>
      <c r="C134" s="39">
        <f t="shared" si="11"/>
        <v>5.8823529411764692E-6</v>
      </c>
      <c r="D134" s="39">
        <f t="shared" si="12"/>
        <v>3.0303030303030301E-6</v>
      </c>
      <c r="E134" s="39">
        <f t="shared" si="19"/>
        <v>112200.00000000001</v>
      </c>
      <c r="F134" s="39">
        <f t="shared" si="14"/>
        <v>0.10130671767676837</v>
      </c>
      <c r="G134" s="39">
        <f>+DCR*0.001*2*'Efficiency Summary'!B134*'Efficiency Summary'!$B$77/3</f>
        <v>4.4755333333333343E-3</v>
      </c>
      <c r="H134" s="39">
        <f t="shared" si="15"/>
        <v>1.1188833333333336E-3</v>
      </c>
      <c r="I134" s="18">
        <f>2*Ron_u*0.001*'Efficiency Summary'!B134*'Efficiency Summary'!$B$77*Vout/(3*Vin)</f>
        <v>1.5110429906000001E-2</v>
      </c>
      <c r="J134" s="39">
        <f>+B134*(Vout*(Vin-Vout)/('Efficiency Summary'!$B$77*Lout*0.000001))*'Power Loss'!$B$53*0.000000001</f>
        <v>5.6492419500000027E-4</v>
      </c>
      <c r="K134" s="18">
        <f>+'Power Loss'!$B$50*0.000000001*Vin^2*2*'Efficiency Summary'!B134*Vout*(Vin-Vout)/(Lout*0.000001*'Power Loss'!$B$79*'Efficiency Summary'!$B$77^2)</f>
        <v>9.2028181507184087E-4</v>
      </c>
      <c r="L134" s="18">
        <f>2*Ron_l*0.001*'Efficiency Summary'!$B$79*'Efficiency Summary'!$B$77*(Vin-Vout)/(3*Vin)</f>
        <v>2.5096522000000007E-3</v>
      </c>
      <c r="M134" s="18">
        <f>+'Power Loss'!$B$67*0.000000001*Vin^2*2*'Efficiency Summary'!B134*Vout*(Vin-Vout)/(Lout*0.000001*'Power Loss'!$B$79*'Efficiency Summary'!$B$77^2)</f>
        <v>1.7007600256322372E-3</v>
      </c>
      <c r="N134" s="18">
        <f>+$K$77*$K$78*0.000000001*2*B134*Vout*(Vin-Vout)/('Efficiency Summary'!$B$77^2*Lout*0.000001*Vin)</f>
        <v>3.766161300000001E-4</v>
      </c>
      <c r="O134" s="18">
        <f t="shared" si="16"/>
        <v>1.398604166666667E-4</v>
      </c>
      <c r="P134" s="18">
        <f t="shared" si="17"/>
        <v>3.0853200000000003E-3</v>
      </c>
      <c r="Q134" s="39">
        <f>+B134*Vout*100/(Vout*'Efficiency Summary'!B134+SUM('Efficiency Summary'!G134:P134))</f>
        <v>97.362894720795055</v>
      </c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s="38" customFormat="1" ht="12.95" customHeight="1">
      <c r="A135" s="18">
        <f t="shared" si="18"/>
        <v>69</v>
      </c>
      <c r="B135" s="18">
        <f t="shared" si="13"/>
        <v>0.34565500000000005</v>
      </c>
      <c r="C135" s="39">
        <f t="shared" si="11"/>
        <v>5.8823529411764692E-6</v>
      </c>
      <c r="D135" s="39">
        <f t="shared" si="12"/>
        <v>3.0303030303030301E-6</v>
      </c>
      <c r="E135" s="39">
        <f t="shared" si="19"/>
        <v>112200.00000000001</v>
      </c>
      <c r="F135" s="39">
        <f t="shared" si="14"/>
        <v>9.7980020156107184E-2</v>
      </c>
      <c r="G135" s="39">
        <f>+DCR*0.001*2*'Efficiency Summary'!B135*'Efficiency Summary'!$B$77/3</f>
        <v>4.6087333333333343E-3</v>
      </c>
      <c r="H135" s="39">
        <f t="shared" si="15"/>
        <v>1.1521833333333336E-3</v>
      </c>
      <c r="I135" s="18">
        <f>2*Ron_u*0.001*'Efficiency Summary'!B135*'Efficiency Summary'!$B$77*Vout/(3*Vin)</f>
        <v>1.5560143742E-2</v>
      </c>
      <c r="J135" s="39">
        <f>+B135*(Vout*(Vin-Vout)/('Efficiency Summary'!$B$77*Lout*0.000001))*'Power Loss'!$B$53*0.000000001</f>
        <v>5.8173736500000031E-4</v>
      </c>
      <c r="K135" s="18">
        <f>+'Power Loss'!$B$50*0.000000001*Vin^2*2*'Efficiency Summary'!B135*Vout*(Vin-Vout)/(Lout*0.000001*'Power Loss'!$B$79*'Efficiency Summary'!$B$77^2)</f>
        <v>9.4767107320887535E-4</v>
      </c>
      <c r="L135" s="18">
        <f>2*Ron_l*0.001*'Efficiency Summary'!$B$79*'Efficiency Summary'!$B$77*(Vin-Vout)/(3*Vin)</f>
        <v>2.5096522000000007E-3</v>
      </c>
      <c r="M135" s="18">
        <f>+'Power Loss'!$B$67*0.000000001*Vin^2*2*'Efficiency Summary'!B135*Vout*(Vin-Vout)/(Lout*0.000001*'Power Loss'!$B$79*'Efficiency Summary'!$B$77^2)</f>
        <v>1.7513777327392223E-3</v>
      </c>
      <c r="N135" s="18">
        <f>+$K$77*$K$78*0.000000001*2*B135*Vout*(Vin-Vout)/('Efficiency Summary'!$B$77^2*Lout*0.000001*Vin)</f>
        <v>3.878249100000001E-4</v>
      </c>
      <c r="O135" s="18">
        <f t="shared" si="16"/>
        <v>1.440229166666667E-4</v>
      </c>
      <c r="P135" s="18">
        <f t="shared" si="17"/>
        <v>3.1652399999999997E-3</v>
      </c>
      <c r="Q135" s="39">
        <f>+B135*Vout*100/(Vout*'Efficiency Summary'!B135+SUM('Efficiency Summary'!G135:P135))</f>
        <v>97.370091907721417</v>
      </c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spans="1:30" s="38" customFormat="1" ht="12.95" customHeight="1">
      <c r="A136" s="18">
        <f t="shared" si="18"/>
        <v>71</v>
      </c>
      <c r="B136" s="18">
        <f t="shared" si="13"/>
        <v>0.35564500000000004</v>
      </c>
      <c r="C136" s="39">
        <f t="shared" si="11"/>
        <v>5.8823529411764692E-6</v>
      </c>
      <c r="D136" s="39">
        <f t="shared" si="12"/>
        <v>3.0303030303030301E-6</v>
      </c>
      <c r="E136" s="39">
        <f t="shared" si="19"/>
        <v>112200.00000000001</v>
      </c>
      <c r="F136" s="39">
        <f t="shared" si="14"/>
        <v>9.428674742883443E-2</v>
      </c>
      <c r="G136" s="39">
        <f>+DCR*0.001*2*'Efficiency Summary'!B136*'Efficiency Summary'!$B$77/3</f>
        <v>4.7419333333333343E-3</v>
      </c>
      <c r="H136" s="39">
        <f t="shared" si="15"/>
        <v>1.1854833333333336E-3</v>
      </c>
      <c r="I136" s="18">
        <f>2*Ron_u*0.001*'Efficiency Summary'!B136*'Efficiency Summary'!$B$77*Vout/(3*Vin)</f>
        <v>1.6009857577999997E-2</v>
      </c>
      <c r="J136" s="39">
        <f>+B136*(Vout*(Vin-Vout)/('Efficiency Summary'!$B$77*Lout*0.000001))*'Power Loss'!$B$53*0.000000001</f>
        <v>5.9855053500000013E-4</v>
      </c>
      <c r="K136" s="18">
        <f>+'Power Loss'!$B$50*0.000000001*Vin^2*2*'Efficiency Summary'!B136*Vout*(Vin-Vout)/(Lout*0.000001*'Power Loss'!$B$79*'Efficiency Summary'!$B$77^2)</f>
        <v>9.7506033134590994E-4</v>
      </c>
      <c r="L136" s="18">
        <f>2*Ron_l*0.001*'Efficiency Summary'!$B$79*'Efficiency Summary'!$B$77*(Vin-Vout)/(3*Vin)</f>
        <v>2.5096522000000007E-3</v>
      </c>
      <c r="M136" s="18">
        <f>+'Power Loss'!$B$67*0.000000001*Vin^2*2*'Efficiency Summary'!B136*Vout*(Vin-Vout)/(Lout*0.000001*'Power Loss'!$B$79*'Efficiency Summary'!$B$77^2)</f>
        <v>1.801995439846207E-3</v>
      </c>
      <c r="N136" s="18">
        <f>+$K$77*$K$78*0.000000001*2*B136*Vout*(Vin-Vout)/('Efficiency Summary'!$B$77^2*Lout*0.000001*Vin)</f>
        <v>3.9903369000000014E-4</v>
      </c>
      <c r="O136" s="18">
        <f t="shared" si="16"/>
        <v>1.481854166666667E-4</v>
      </c>
      <c r="P136" s="18">
        <f t="shared" si="17"/>
        <v>3.2451599999999995E-3</v>
      </c>
      <c r="Q136" s="39">
        <f>+B136*Vout*100/(Vout*'Efficiency Summary'!B136+SUM('Efficiency Summary'!G136:P136))</f>
        <v>97.376885735571008</v>
      </c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s="38" customFormat="1" ht="12.95" customHeight="1">
      <c r="A137" s="18">
        <f t="shared" si="18"/>
        <v>73</v>
      </c>
      <c r="B137" s="18">
        <f t="shared" si="13"/>
        <v>0.36563500000000004</v>
      </c>
      <c r="C137" s="39">
        <f t="shared" si="11"/>
        <v>5.8823529411764692E-6</v>
      </c>
      <c r="D137" s="39">
        <f t="shared" si="12"/>
        <v>3.0303030303030301E-6</v>
      </c>
      <c r="E137" s="39">
        <f t="shared" si="19"/>
        <v>112200.00000000001</v>
      </c>
      <c r="F137" s="39">
        <f t="shared" si="14"/>
        <v>9.0226899494950108E-2</v>
      </c>
      <c r="G137" s="39">
        <f>+DCR*0.001*2*'Efficiency Summary'!B137*'Efficiency Summary'!$B$77/3</f>
        <v>4.8751333333333343E-3</v>
      </c>
      <c r="H137" s="39">
        <f t="shared" si="15"/>
        <v>1.2187833333333336E-3</v>
      </c>
      <c r="I137" s="18">
        <f>2*Ron_u*0.001*'Efficiency Summary'!B137*'Efficiency Summary'!$B$77*Vout/(3*Vin)</f>
        <v>1.6459571413999997E-2</v>
      </c>
      <c r="J137" s="39">
        <f>+B137*(Vout*(Vin-Vout)/('Efficiency Summary'!$B$77*Lout*0.000001))*'Power Loss'!$B$53*0.000000001</f>
        <v>6.1536370500000028E-4</v>
      </c>
      <c r="K137" s="18">
        <f>+'Power Loss'!$B$50*0.000000001*Vin^2*2*'Efficiency Summary'!B137*Vout*(Vin-Vout)/(Lout*0.000001*'Power Loss'!$B$79*'Efficiency Summary'!$B$77^2)</f>
        <v>1.0024495894829443E-3</v>
      </c>
      <c r="L137" s="18">
        <f>2*Ron_l*0.001*'Efficiency Summary'!$B$79*'Efficiency Summary'!$B$77*(Vin-Vout)/(3*Vin)</f>
        <v>2.5096522000000007E-3</v>
      </c>
      <c r="M137" s="18">
        <f>+'Power Loss'!$B$67*0.000000001*Vin^2*2*'Efficiency Summary'!B137*Vout*(Vin-Vout)/(Lout*0.000001*'Power Loss'!$B$79*'Efficiency Summary'!$B$77^2)</f>
        <v>1.8526131469531915E-3</v>
      </c>
      <c r="N137" s="18">
        <f>+$K$77*$K$78*0.000000001*2*B137*Vout*(Vin-Vout)/('Efficiency Summary'!$B$77^2*Lout*0.000001*Vin)</f>
        <v>4.1024247000000008E-4</v>
      </c>
      <c r="O137" s="18">
        <f t="shared" si="16"/>
        <v>1.523479166666667E-4</v>
      </c>
      <c r="P137" s="18">
        <f t="shared" si="17"/>
        <v>3.3250800000000002E-3</v>
      </c>
      <c r="Q137" s="39">
        <f>+B137*Vout*100/(Vout*'Efficiency Summary'!B137+SUM('Efficiency Summary'!G137:P137))</f>
        <v>97.38330918883112</v>
      </c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spans="1:30" s="38" customFormat="1" ht="12.95" customHeight="1">
      <c r="A138" s="18">
        <f t="shared" si="18"/>
        <v>75</v>
      </c>
      <c r="B138" s="18">
        <f t="shared" si="13"/>
        <v>0.37562500000000004</v>
      </c>
      <c r="C138" s="39">
        <f t="shared" si="11"/>
        <v>5.8823529411764692E-6</v>
      </c>
      <c r="D138" s="39">
        <f t="shared" si="12"/>
        <v>3.0303030303030301E-6</v>
      </c>
      <c r="E138" s="39">
        <f t="shared" si="19"/>
        <v>112200.00000000001</v>
      </c>
      <c r="F138" s="39">
        <f t="shared" si="14"/>
        <v>8.5800476354454203E-2</v>
      </c>
      <c r="G138" s="39">
        <f>+DCR*0.001*2*'Efficiency Summary'!B138*'Efficiency Summary'!$B$77/3</f>
        <v>5.0083333333333343E-3</v>
      </c>
      <c r="H138" s="39">
        <f t="shared" si="15"/>
        <v>1.2520833333333336E-3</v>
      </c>
      <c r="I138" s="18">
        <f>2*Ron_u*0.001*'Efficiency Summary'!B138*'Efficiency Summary'!$B$77*Vout/(3*Vin)</f>
        <v>1.6909285249999999E-2</v>
      </c>
      <c r="J138" s="39">
        <f>+B138*(Vout*(Vin-Vout)/('Efficiency Summary'!$B$77*Lout*0.000001))*'Power Loss'!$B$53*0.000000001</f>
        <v>6.3217687500000033E-4</v>
      </c>
      <c r="K138" s="18">
        <f>+'Power Loss'!$B$50*0.000000001*Vin^2*2*'Efficiency Summary'!B138*Vout*(Vin-Vout)/(Lout*0.000001*'Power Loss'!$B$79*'Efficiency Summary'!$B$77^2)</f>
        <v>1.0298388476199787E-3</v>
      </c>
      <c r="L138" s="18">
        <f>2*Ron_l*0.001*'Efficiency Summary'!$B$79*'Efficiency Summary'!$B$77*(Vin-Vout)/(3*Vin)</f>
        <v>2.5096522000000007E-3</v>
      </c>
      <c r="M138" s="18">
        <f>+'Power Loss'!$B$67*0.000000001*Vin^2*2*'Efficiency Summary'!B138*Vout*(Vin-Vout)/(Lout*0.000001*'Power Loss'!$B$79*'Efficiency Summary'!$B$77^2)</f>
        <v>1.9032308540601769E-3</v>
      </c>
      <c r="N138" s="18">
        <f>+$K$77*$K$78*0.000000001*2*B138*Vout*(Vin-Vout)/('Efficiency Summary'!$B$77^2*Lout*0.000001*Vin)</f>
        <v>4.2145125000000013E-4</v>
      </c>
      <c r="O138" s="18">
        <f t="shared" si="16"/>
        <v>1.565104166666667E-4</v>
      </c>
      <c r="P138" s="18">
        <f t="shared" si="17"/>
        <v>3.4050000000000005E-3</v>
      </c>
      <c r="Q138" s="39">
        <f>+B138*Vout*100/(Vout*'Efficiency Summary'!B138+SUM('Efficiency Summary'!G138:P138))</f>
        <v>97.38939175103215</v>
      </c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s="38" customFormat="1" ht="12.95" customHeight="1">
      <c r="A139" s="18">
        <f t="shared" si="18"/>
        <v>77</v>
      </c>
      <c r="B139" s="18">
        <f t="shared" si="13"/>
        <v>0.38561500000000004</v>
      </c>
      <c r="C139" s="39">
        <f t="shared" si="11"/>
        <v>5.8823529411764692E-6</v>
      </c>
      <c r="D139" s="39">
        <f t="shared" si="12"/>
        <v>3.0303030303030301E-6</v>
      </c>
      <c r="E139" s="39">
        <f t="shared" si="19"/>
        <v>112200.00000000001</v>
      </c>
      <c r="F139" s="39">
        <f t="shared" si="14"/>
        <v>8.1007478007346728E-2</v>
      </c>
      <c r="G139" s="39">
        <f>+DCR*0.001*2*'Efficiency Summary'!B139*'Efficiency Summary'!$B$77/3</f>
        <v>5.1415333333333342E-3</v>
      </c>
      <c r="H139" s="39">
        <f t="shared" si="15"/>
        <v>1.2853833333333336E-3</v>
      </c>
      <c r="I139" s="18">
        <f>2*Ron_u*0.001*'Efficiency Summary'!B139*'Efficiency Summary'!$B$77*Vout/(3*Vin)</f>
        <v>1.7358999085999995E-2</v>
      </c>
      <c r="J139" s="39">
        <f>+B139*(Vout*(Vin-Vout)/('Efficiency Summary'!$B$77*Lout*0.000001))*'Power Loss'!$B$53*0.000000001</f>
        <v>6.4899004500000015E-4</v>
      </c>
      <c r="K139" s="18">
        <f>+'Power Loss'!$B$50*0.000000001*Vin^2*2*'Efficiency Summary'!B139*Vout*(Vin-Vout)/(Lout*0.000001*'Power Loss'!$B$79*'Efficiency Summary'!$B$77^2)</f>
        <v>1.0572281057570133E-3</v>
      </c>
      <c r="L139" s="18">
        <f>2*Ron_l*0.001*'Efficiency Summary'!$B$79*'Efficiency Summary'!$B$77*(Vin-Vout)/(3*Vin)</f>
        <v>2.5096522000000007E-3</v>
      </c>
      <c r="M139" s="18">
        <f>+'Power Loss'!$B$67*0.000000001*Vin^2*2*'Efficiency Summary'!B139*Vout*(Vin-Vout)/(Lout*0.000001*'Power Loss'!$B$79*'Efficiency Summary'!$B$77^2)</f>
        <v>1.9538485611671616E-3</v>
      </c>
      <c r="N139" s="18">
        <f>+$K$77*$K$78*0.000000001*2*B139*Vout*(Vin-Vout)/('Efficiency Summary'!$B$77^2*Lout*0.000001*Vin)</f>
        <v>4.3266003000000012E-4</v>
      </c>
      <c r="O139" s="18">
        <f t="shared" si="16"/>
        <v>1.6067291666666669E-4</v>
      </c>
      <c r="P139" s="18">
        <f t="shared" si="17"/>
        <v>3.4849199999999999E-3</v>
      </c>
      <c r="Q139" s="39">
        <f>+B139*Vout*100/(Vout*'Efficiency Summary'!B139+SUM('Efficiency Summary'!G139:P139))</f>
        <v>97.395159857228165</v>
      </c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spans="1:30" s="38" customFormat="1" ht="12.95" customHeight="1">
      <c r="A140" s="18">
        <f t="shared" si="18"/>
        <v>79</v>
      </c>
      <c r="B140" s="18">
        <f t="shared" si="13"/>
        <v>0.39560500000000004</v>
      </c>
      <c r="C140" s="39">
        <f t="shared" si="11"/>
        <v>5.8823529411764692E-6</v>
      </c>
      <c r="D140" s="39">
        <f t="shared" si="12"/>
        <v>3.0303030303030301E-6</v>
      </c>
      <c r="E140" s="39">
        <f t="shared" si="19"/>
        <v>112200.00000000001</v>
      </c>
      <c r="F140" s="39">
        <f t="shared" si="14"/>
        <v>7.5847904453627685E-2</v>
      </c>
      <c r="G140" s="39">
        <f>+DCR*0.001*2*'Efficiency Summary'!B140*'Efficiency Summary'!$B$77/3</f>
        <v>5.2747333333333342E-3</v>
      </c>
      <c r="H140" s="39">
        <f t="shared" si="15"/>
        <v>1.3186833333333336E-3</v>
      </c>
      <c r="I140" s="18">
        <f>2*Ron_u*0.001*'Efficiency Summary'!B140*'Efficiency Summary'!$B$77*Vout/(3*Vin)</f>
        <v>1.7808712921999998E-2</v>
      </c>
      <c r="J140" s="39">
        <f>+B140*(Vout*(Vin-Vout)/('Efficiency Summary'!$B$77*Lout*0.000001))*'Power Loss'!$B$53*0.000000001</f>
        <v>6.6580321500000019E-4</v>
      </c>
      <c r="K140" s="18">
        <f>+'Power Loss'!$B$50*0.000000001*Vin^2*2*'Efficiency Summary'!B140*Vout*(Vin-Vout)/(Lout*0.000001*'Power Loss'!$B$79*'Efficiency Summary'!$B$77^2)</f>
        <v>1.0846173638940479E-3</v>
      </c>
      <c r="L140" s="18">
        <f>2*Ron_l*0.001*'Efficiency Summary'!$B$79*'Efficiency Summary'!$B$77*(Vin-Vout)/(3*Vin)</f>
        <v>2.5096522000000007E-3</v>
      </c>
      <c r="M140" s="18">
        <f>+'Power Loss'!$B$67*0.000000001*Vin^2*2*'Efficiency Summary'!B140*Vout*(Vin-Vout)/(Lout*0.000001*'Power Loss'!$B$79*'Efficiency Summary'!$B$77^2)</f>
        <v>2.0044662682741463E-3</v>
      </c>
      <c r="N140" s="18">
        <f>+$K$77*$K$78*0.000000001*2*B140*Vout*(Vin-Vout)/('Efficiency Summary'!$B$77^2*Lout*0.000001*Vin)</f>
        <v>4.4386881000000006E-4</v>
      </c>
      <c r="O140" s="18">
        <f t="shared" si="16"/>
        <v>1.6483541666666669E-4</v>
      </c>
      <c r="P140" s="18">
        <f t="shared" si="17"/>
        <v>3.5648400000000001E-3</v>
      </c>
      <c r="Q140" s="39">
        <f>+B140*Vout*100/(Vout*'Efficiency Summary'!B140+SUM('Efficiency Summary'!G140:P140))</f>
        <v>97.400637278069127</v>
      </c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s="38" customFormat="1" ht="12.95" customHeight="1">
      <c r="A141" s="18">
        <f t="shared" si="18"/>
        <v>81</v>
      </c>
      <c r="B141" s="18">
        <f t="shared" si="13"/>
        <v>0.40559500000000004</v>
      </c>
      <c r="C141" s="39">
        <f t="shared" si="11"/>
        <v>5.8823529411764692E-6</v>
      </c>
      <c r="D141" s="39">
        <f t="shared" si="12"/>
        <v>3.0303030303030301E-6</v>
      </c>
      <c r="E141" s="39">
        <f t="shared" si="19"/>
        <v>112200.00000000001</v>
      </c>
      <c r="F141" s="39">
        <f t="shared" si="14"/>
        <v>7.0321755693297072E-2</v>
      </c>
      <c r="G141" s="39">
        <f>+DCR*0.001*2*'Efficiency Summary'!B141*'Efficiency Summary'!$B$77/3</f>
        <v>5.4079333333333342E-3</v>
      </c>
      <c r="H141" s="39">
        <f t="shared" si="15"/>
        <v>1.3519833333333336E-3</v>
      </c>
      <c r="I141" s="18">
        <f>2*Ron_u*0.001*'Efficiency Summary'!B141*'Efficiency Summary'!$B$77*Vout/(3*Vin)</f>
        <v>1.8258426757999997E-2</v>
      </c>
      <c r="J141" s="39">
        <f>+B141*(Vout*(Vin-Vout)/('Efficiency Summary'!$B$77*Lout*0.000001))*'Power Loss'!$B$53*0.000000001</f>
        <v>6.8261638500000024E-4</v>
      </c>
      <c r="K141" s="18">
        <f>+'Power Loss'!$B$50*0.000000001*Vin^2*2*'Efficiency Summary'!B141*Vout*(Vin-Vout)/(Lout*0.000001*'Power Loss'!$B$79*'Efficiency Summary'!$B$77^2)</f>
        <v>1.1120066220310823E-3</v>
      </c>
      <c r="L141" s="18">
        <f>2*Ron_l*0.001*'Efficiency Summary'!$B$79*'Efficiency Summary'!$B$77*(Vin-Vout)/(3*Vin)</f>
        <v>2.5096522000000007E-3</v>
      </c>
      <c r="M141" s="18">
        <f>+'Power Loss'!$B$67*0.000000001*Vin^2*2*'Efficiency Summary'!B141*Vout*(Vin-Vout)/(Lout*0.000001*'Power Loss'!$B$79*'Efficiency Summary'!$B$77^2)</f>
        <v>2.0550839753811314E-3</v>
      </c>
      <c r="N141" s="18">
        <f>+$K$77*$K$78*0.000000001*2*B141*Vout*(Vin-Vout)/('Efficiency Summary'!$B$77^2*Lout*0.000001*Vin)</f>
        <v>4.5507759000000016E-4</v>
      </c>
      <c r="O141" s="18">
        <f t="shared" si="16"/>
        <v>1.6899791666666669E-4</v>
      </c>
      <c r="P141" s="18">
        <f t="shared" si="17"/>
        <v>3.6447599999999995E-3</v>
      </c>
      <c r="Q141" s="39">
        <f>+B141*Vout*100/(Vout*'Efficiency Summary'!B141+SUM('Efficiency Summary'!G141:P141))</f>
        <v>97.405845447233759</v>
      </c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spans="1:30" s="38" customFormat="1" ht="12.95" customHeight="1">
      <c r="A142" s="18">
        <f t="shared" si="18"/>
        <v>83</v>
      </c>
      <c r="B142" s="18">
        <f t="shared" si="13"/>
        <v>0.41558500000000004</v>
      </c>
      <c r="C142" s="39">
        <f t="shared" si="11"/>
        <v>5.8823529411764692E-6</v>
      </c>
      <c r="D142" s="39">
        <f t="shared" si="12"/>
        <v>3.0303030303030301E-6</v>
      </c>
      <c r="E142" s="39">
        <f t="shared" si="19"/>
        <v>112200.00000000001</v>
      </c>
      <c r="F142" s="39">
        <f t="shared" si="14"/>
        <v>6.4429031726354877E-2</v>
      </c>
      <c r="G142" s="39">
        <f>+DCR*0.001*2*'Efficiency Summary'!B142*'Efficiency Summary'!$B$77/3</f>
        <v>5.5411333333333342E-3</v>
      </c>
      <c r="H142" s="39">
        <f t="shared" si="15"/>
        <v>1.3852833333333335E-3</v>
      </c>
      <c r="I142" s="18">
        <f>2*Ron_u*0.001*'Efficiency Summary'!B142*'Efficiency Summary'!$B$77*Vout/(3*Vin)</f>
        <v>1.8708140593999997E-2</v>
      </c>
      <c r="J142" s="39">
        <f>+B142*(Vout*(Vin-Vout)/('Efficiency Summary'!$B$77*Lout*0.000001))*'Power Loss'!$B$53*0.000000001</f>
        <v>6.9942955500000017E-4</v>
      </c>
      <c r="K142" s="18">
        <f>+'Power Loss'!$B$50*0.000000001*Vin^2*2*'Efficiency Summary'!B142*Vout*(Vin-Vout)/(Lout*0.000001*'Power Loss'!$B$79*'Efficiency Summary'!$B$77^2)</f>
        <v>1.1393958801681169E-3</v>
      </c>
      <c r="L142" s="18">
        <f>2*Ron_l*0.001*'Efficiency Summary'!$B$79*'Efficiency Summary'!$B$77*(Vin-Vout)/(3*Vin)</f>
        <v>2.5096522000000007E-3</v>
      </c>
      <c r="M142" s="18">
        <f>+'Power Loss'!$B$67*0.000000001*Vin^2*2*'Efficiency Summary'!B142*Vout*(Vin-Vout)/(Lout*0.000001*'Power Loss'!$B$79*'Efficiency Summary'!$B$77^2)</f>
        <v>2.1057016824881161E-3</v>
      </c>
      <c r="N142" s="18">
        <f>+$K$77*$K$78*0.000000001*2*B142*Vout*(Vin-Vout)/('Efficiency Summary'!$B$77^2*Lout*0.000001*Vin)</f>
        <v>4.6628637000000009E-4</v>
      </c>
      <c r="O142" s="18">
        <f t="shared" si="16"/>
        <v>1.7316041666666669E-4</v>
      </c>
      <c r="P142" s="18">
        <f t="shared" si="17"/>
        <v>3.7246799999999997E-3</v>
      </c>
      <c r="Q142" s="39">
        <f>+B142*Vout*100/(Vout*'Efficiency Summary'!B142+SUM('Efficiency Summary'!G142:P142))</f>
        <v>97.410803741734426</v>
      </c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s="38" customFormat="1" ht="12.95" customHeight="1">
      <c r="A143" s="18">
        <f t="shared" si="18"/>
        <v>85</v>
      </c>
      <c r="B143" s="18">
        <f t="shared" si="13"/>
        <v>0.42557500000000004</v>
      </c>
      <c r="C143" s="39">
        <f t="shared" si="11"/>
        <v>5.8823529411764692E-6</v>
      </c>
      <c r="D143" s="39">
        <f t="shared" si="12"/>
        <v>3.0303030303030301E-6</v>
      </c>
      <c r="E143" s="39">
        <f t="shared" si="19"/>
        <v>112200.00000000001</v>
      </c>
      <c r="F143" s="39">
        <f t="shared" si="14"/>
        <v>5.8169732552801112E-2</v>
      </c>
      <c r="G143" s="39">
        <f>+DCR*0.001*2*'Efficiency Summary'!B143*'Efficiency Summary'!$B$77/3</f>
        <v>5.6743333333333342E-3</v>
      </c>
      <c r="H143" s="39">
        <f t="shared" si="15"/>
        <v>1.4185833333333335E-3</v>
      </c>
      <c r="I143" s="18">
        <f>2*Ron_u*0.001*'Efficiency Summary'!B143*'Efficiency Summary'!$B$77*Vout/(3*Vin)</f>
        <v>1.9157854429999999E-2</v>
      </c>
      <c r="J143" s="39">
        <f>+B143*(Vout*(Vin-Vout)/('Efficiency Summary'!$B$77*Lout*0.000001))*'Power Loss'!$B$53*0.000000001</f>
        <v>7.1624272500000021E-4</v>
      </c>
      <c r="K143" s="18">
        <f>+'Power Loss'!$B$50*0.000000001*Vin^2*2*'Efficiency Summary'!B143*Vout*(Vin-Vout)/(Lout*0.000001*'Power Loss'!$B$79*'Efficiency Summary'!$B$77^2)</f>
        <v>1.1667851383051514E-3</v>
      </c>
      <c r="L143" s="18">
        <f>2*Ron_l*0.001*'Efficiency Summary'!$B$79*'Efficiency Summary'!$B$77*(Vin-Vout)/(3*Vin)</f>
        <v>2.5096522000000007E-3</v>
      </c>
      <c r="M143" s="18">
        <f>+'Power Loss'!$B$67*0.000000001*Vin^2*2*'Efficiency Summary'!B143*Vout*(Vin-Vout)/(Lout*0.000001*'Power Loss'!$B$79*'Efficiency Summary'!$B$77^2)</f>
        <v>2.1563193895951008E-3</v>
      </c>
      <c r="N143" s="18">
        <f>+$K$77*$K$78*0.000000001*2*B143*Vout*(Vin-Vout)/('Efficiency Summary'!$B$77^2*Lout*0.000001*Vin)</f>
        <v>4.7749515000000014E-4</v>
      </c>
      <c r="O143" s="18">
        <f t="shared" si="16"/>
        <v>1.7732291666666669E-4</v>
      </c>
      <c r="P143" s="18">
        <f t="shared" si="17"/>
        <v>3.8046000000000004E-3</v>
      </c>
      <c r="Q143" s="39">
        <f>+B143*Vout*100/(Vout*'Efficiency Summary'!B143+SUM('Efficiency Summary'!G143:P143))</f>
        <v>97.4155297228221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spans="1:30" s="38" customFormat="1" ht="12.95" customHeight="1">
      <c r="A144" s="18">
        <f t="shared" si="18"/>
        <v>87</v>
      </c>
      <c r="B144" s="18">
        <f>+$B$77/2</f>
        <v>0.5</v>
      </c>
      <c r="C144" s="39">
        <f t="shared" si="11"/>
        <v>5.8823529411764692E-6</v>
      </c>
      <c r="D144" s="39">
        <f t="shared" si="12"/>
        <v>3.0303030303030301E-6</v>
      </c>
      <c r="E144" s="39">
        <f t="shared" si="19"/>
        <v>112200.00000000001</v>
      </c>
      <c r="F144" s="39">
        <f t="shared" si="14"/>
        <v>0</v>
      </c>
      <c r="G144" s="39">
        <f>+DCR*0.001*2*'Efficiency Summary'!B144*'Efficiency Summary'!$B$77/3</f>
        <v>6.6666666666666671E-3</v>
      </c>
      <c r="H144" s="39">
        <f t="shared" si="15"/>
        <v>1.6666666666666668E-3</v>
      </c>
      <c r="I144" s="18">
        <f>2*Ron_u*0.001*'Efficiency Summary'!B144*'Efficiency Summary'!$B$77*Vout/(3*Vin)</f>
        <v>2.2508199999999996E-2</v>
      </c>
      <c r="J144" s="39">
        <f>+B144*(Vout*(Vin-Vout)/('Efficiency Summary'!$B$77*Lout*0.000001))*'Power Loss'!$B$53*0.000000001</f>
        <v>8.4150000000000023E-4</v>
      </c>
      <c r="K144" s="18">
        <f>+'Power Loss'!$B$50*0.000000001*Vin^2*2*'Efficiency Summary'!B144*Vout*(Vin-Vout)/(Lout*0.000001*'Power Loss'!$B$79*'Efficiency Summary'!$B$77^2)</f>
        <v>1.3708337405923176E-3</v>
      </c>
      <c r="L144" s="18">
        <f>2*Ron_l*0.001*'Efficiency Summary'!$B$79*'Efficiency Summary'!$B$77*(Vin-Vout)/(3*Vin)</f>
        <v>2.5096522000000007E-3</v>
      </c>
      <c r="M144" s="18">
        <f>+'Power Loss'!$B$67*0.000000001*Vin^2*2*'Efficiency Summary'!B144*Vout*(Vin-Vout)/(Lout*0.000001*'Power Loss'!$B$79*'Efficiency Summary'!$B$77^2)</f>
        <v>2.533418774123363E-3</v>
      </c>
      <c r="N144" s="18">
        <f>+$K$77*$K$78*0.000000001*2*B144*Vout*(Vin-Vout)/('Efficiency Summary'!$B$77^2*Lout*0.000001*Vin)</f>
        <v>5.6100000000000008E-4</v>
      </c>
      <c r="O144" s="18">
        <f t="shared" si="16"/>
        <v>2.0833333333333335E-4</v>
      </c>
      <c r="P144" s="18">
        <f t="shared" si="17"/>
        <v>4.3999999999999994E-3</v>
      </c>
      <c r="Q144" s="39">
        <f>+B144*Vout*100/(Vout*'Efficiency Summary'!B144+SUM('Efficiency Summary'!G144:P144))</f>
        <v>97.444804038641536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18" s="38" customFormat="1" ht="12.9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</row>
    <row r="146" spans="1:18" s="38" customFormat="1" ht="12.9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</row>
    <row r="147" spans="1:18" s="38" customFormat="1" ht="12.9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</row>
    <row r="148" spans="1:18" ht="12.9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</row>
    <row r="149" spans="1:18" ht="12.9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</row>
    <row r="150" spans="1:18" ht="12.9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</row>
    <row r="151" spans="1:18" ht="12.9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</row>
  </sheetData>
  <sheetProtection password="C6F9" sheet="1" objects="1" scenarios="1" selectLockedCells="1"/>
  <pageMargins left="0.7" right="0.7" top="0.75" bottom="0.75" header="0.3" footer="0.3"/>
  <pageSetup orientation="portrait" verticalDpi="598" r:id="rId1"/>
  <ignoredErrors>
    <ignoredError sqref="B10" unlockedFormula="1"/>
    <ignoredError sqref="B23:B2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358BE7-E79B-4568-8214-49F58742D5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ECF5EC-C9D2-4F63-86B7-15ED7B06839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533346-D6C7-4A5D-B61E-50AB42DA1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Power Loss</vt:lpstr>
      <vt:lpstr>Efficiency Summary</vt:lpstr>
      <vt:lpstr>Cap</vt:lpstr>
      <vt:lpstr>D</vt:lpstr>
      <vt:lpstr>DCR</vt:lpstr>
      <vt:lpstr>Efficiency</vt:lpstr>
      <vt:lpstr>ESR</vt:lpstr>
      <vt:lpstr>Fs</vt:lpstr>
      <vt:lpstr>Il_rms</vt:lpstr>
      <vt:lpstr>Imax</vt:lpstr>
      <vt:lpstr>Imin</vt:lpstr>
      <vt:lpstr>Iout</vt:lpstr>
      <vt:lpstr>Irip</vt:lpstr>
      <vt:lpstr>Iu_rms</vt:lpstr>
      <vt:lpstr>LIR</vt:lpstr>
      <vt:lpstr>Lout</vt:lpstr>
      <vt:lpstr>ncap</vt:lpstr>
      <vt:lpstr>Ron_l</vt:lpstr>
      <vt:lpstr>Ron_u</vt:lpstr>
      <vt:lpstr>Rout</vt:lpstr>
      <vt:lpstr>Tloss</vt:lpstr>
      <vt:lpstr>Vin</vt:lpstr>
      <vt:lpstr>Vout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Bui/Analog/DAL</dc:creator>
  <cp:lastModifiedBy>David Walker</cp:lastModifiedBy>
  <dcterms:created xsi:type="dcterms:W3CDTF">2017-12-13T19:19:46Z</dcterms:created>
  <dcterms:modified xsi:type="dcterms:W3CDTF">2025-08-31T19:27:20Z</dcterms:modified>
</cp:coreProperties>
</file>