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4000" windowHeight="8508" activeTab="2"/>
  </bookViews>
  <sheets>
    <sheet name="EARTH CALCULATION" sheetId="1" r:id="rId1"/>
    <sheet name="ABSTRACT" sheetId="2" r:id="rId2"/>
    <sheet name="DETAILED" sheetId="5" r:id="rId3"/>
  </sheets>
  <calcPr calcId="162913"/>
</workbook>
</file>

<file path=xl/calcChain.xml><?xml version="1.0" encoding="utf-8"?>
<calcChain xmlns="http://schemas.openxmlformats.org/spreadsheetml/2006/main">
  <c r="H7" i="5" l="1"/>
  <c r="J201" i="5" l="1"/>
  <c r="H211" i="5" s="1"/>
  <c r="H193" i="5"/>
  <c r="J127" i="5"/>
  <c r="J106" i="5"/>
  <c r="H131" i="5" s="1"/>
  <c r="H95" i="5"/>
  <c r="J86" i="5"/>
  <c r="J72" i="5"/>
  <c r="H65" i="5"/>
  <c r="J65" i="5" s="1"/>
  <c r="C8" i="2" s="1"/>
  <c r="J35" i="5"/>
  <c r="H210" i="5" l="1"/>
  <c r="F366" i="5"/>
  <c r="H366" i="5" s="1"/>
  <c r="E356" i="5"/>
  <c r="E355" i="5"/>
  <c r="E357" i="5" s="1"/>
  <c r="E360" i="5" s="1"/>
  <c r="H360" i="5" s="1"/>
  <c r="C369" i="5" l="1"/>
  <c r="E369" i="5"/>
  <c r="I371" i="5"/>
  <c r="H373" i="5" s="1"/>
  <c r="I373" i="5" s="1"/>
  <c r="E376" i="5" s="1"/>
  <c r="J376" i="5" s="1"/>
  <c r="E364" i="5"/>
  <c r="H287" i="5"/>
  <c r="E278" i="5"/>
  <c r="E280" i="5" s="1"/>
  <c r="E282" i="5" s="1"/>
  <c r="J282" i="5" s="1"/>
  <c r="E243" i="5"/>
  <c r="E245" i="5" s="1"/>
  <c r="E247" i="5" s="1"/>
  <c r="J247" i="5" s="1"/>
  <c r="H204" i="5"/>
  <c r="H206" i="5" s="1"/>
  <c r="H208" i="5" s="1"/>
  <c r="E198" i="5"/>
  <c r="C198" i="5"/>
  <c r="J131" i="5"/>
  <c r="C10" i="2" s="1"/>
  <c r="J95" i="5"/>
  <c r="H91" i="5"/>
  <c r="E89" i="5"/>
  <c r="H89" i="5" s="1"/>
  <c r="H90" i="5" s="1"/>
  <c r="H61" i="5"/>
  <c r="E59" i="5"/>
  <c r="H59" i="5" s="1"/>
  <c r="H60" i="5" s="1"/>
  <c r="H62" i="5" s="1"/>
  <c r="J609" i="5"/>
  <c r="C47" i="2" s="1"/>
  <c r="J369" i="5" l="1"/>
  <c r="J378" i="5" s="1"/>
  <c r="H92" i="5"/>
  <c r="E152" i="5"/>
  <c r="C9" i="2"/>
  <c r="H198" i="5"/>
  <c r="H201" i="5" s="1"/>
  <c r="J409" i="5"/>
  <c r="C32" i="2" s="1"/>
  <c r="J400" i="5" l="1"/>
  <c r="C30" i="2" s="1"/>
  <c r="J390" i="5"/>
  <c r="C28" i="2" s="1"/>
  <c r="E138" i="5"/>
  <c r="H129" i="5" l="1"/>
  <c r="H126" i="5"/>
  <c r="E121" i="5"/>
  <c r="E123" i="5" s="1"/>
  <c r="E125" i="5" s="1"/>
  <c r="H125" i="5" s="1"/>
  <c r="H85" i="5"/>
  <c r="E83" i="5"/>
  <c r="H83" i="5" s="1"/>
  <c r="H84" i="5" s="1"/>
  <c r="H55" i="5"/>
  <c r="E53" i="5"/>
  <c r="H53" i="5" s="1"/>
  <c r="H54" i="5" s="1"/>
  <c r="H56" i="5" l="1"/>
  <c r="H63" i="5" s="1"/>
  <c r="H127" i="5"/>
  <c r="H130" i="5" s="1"/>
  <c r="H86" i="5"/>
  <c r="H93" i="5" s="1"/>
  <c r="H188" i="5"/>
  <c r="H181" i="5"/>
  <c r="P601" i="5"/>
  <c r="I320" i="5"/>
  <c r="E323" i="5" s="1"/>
  <c r="I346" i="5"/>
  <c r="E349" i="5" s="1"/>
  <c r="I344" i="5"/>
  <c r="H333" i="5"/>
  <c r="P329" i="5"/>
  <c r="E329" i="5"/>
  <c r="J318" i="5"/>
  <c r="M304" i="5"/>
  <c r="E301" i="5"/>
  <c r="H183" i="5" l="1"/>
  <c r="H185" i="5" s="1"/>
  <c r="H190" i="5"/>
  <c r="H191" i="5" s="1"/>
  <c r="H267" i="5"/>
  <c r="E269" i="5" s="1"/>
  <c r="J269" i="5" s="1"/>
  <c r="H139" i="5"/>
  <c r="H236" i="5"/>
  <c r="E238" i="5" s="1"/>
  <c r="J238" i="5" s="1"/>
  <c r="H48" i="5"/>
  <c r="H44" i="5"/>
  <c r="H45" i="5" s="1"/>
  <c r="E254" i="5"/>
  <c r="E256" i="5" s="1"/>
  <c r="E261" i="5"/>
  <c r="E263" i="5" s="1"/>
  <c r="E230" i="5"/>
  <c r="E232" i="5" s="1"/>
  <c r="E222" i="5"/>
  <c r="E224" i="5" s="1"/>
  <c r="E109" i="5"/>
  <c r="E99" i="5"/>
  <c r="H272" i="5" l="1"/>
  <c r="E273" i="5" s="1"/>
  <c r="J211" i="5"/>
  <c r="E139" i="5"/>
  <c r="J139" i="5" s="1"/>
  <c r="E151" i="5"/>
  <c r="F47" i="2"/>
  <c r="H219" i="5" l="1"/>
  <c r="C18" i="2"/>
  <c r="C38" i="2"/>
  <c r="C37" i="2"/>
  <c r="H346" i="5"/>
  <c r="H320" i="5"/>
  <c r="J323" i="5" l="1"/>
  <c r="C316" i="5"/>
  <c r="E311" i="5"/>
  <c r="F313" i="5" s="1"/>
  <c r="H307" i="5" l="1"/>
  <c r="E316" i="5" s="1"/>
  <c r="J316" i="5" s="1"/>
  <c r="M331" i="5"/>
  <c r="E265" i="5"/>
  <c r="J265" i="5" s="1"/>
  <c r="E258" i="5"/>
  <c r="J258" i="5" s="1"/>
  <c r="E234" i="5"/>
  <c r="J234" i="5" s="1"/>
  <c r="E226" i="5"/>
  <c r="J275" i="5" l="1"/>
  <c r="J307" i="5"/>
  <c r="J325" i="5" s="1"/>
  <c r="C20" i="2"/>
  <c r="E173" i="5"/>
  <c r="C173" i="5"/>
  <c r="H152" i="5"/>
  <c r="H138" i="5"/>
  <c r="J288" i="5" l="1"/>
  <c r="E289" i="5" s="1"/>
  <c r="H173" i="5"/>
  <c r="F10" i="2"/>
  <c r="H77" i="5"/>
  <c r="E75" i="5"/>
  <c r="H75" i="5" s="1"/>
  <c r="H76" i="5" s="1"/>
  <c r="H41" i="5"/>
  <c r="E39" i="5"/>
  <c r="H39" i="5" s="1"/>
  <c r="H40" i="5" s="1"/>
  <c r="H42" i="5" l="1"/>
  <c r="H78" i="5"/>
  <c r="H117" i="5"/>
  <c r="H114" i="5"/>
  <c r="E111" i="5"/>
  <c r="E113" i="5" s="1"/>
  <c r="H113" i="5" s="1"/>
  <c r="H105" i="5"/>
  <c r="C6" i="2"/>
  <c r="H115" i="5" l="1"/>
  <c r="J613" i="5" l="1"/>
  <c r="C49" i="2" s="1"/>
  <c r="F49" i="2" s="1"/>
  <c r="J599" i="5" l="1"/>
  <c r="J601" i="5" s="1"/>
  <c r="J602" i="5" s="1"/>
  <c r="C46" i="2" s="1"/>
  <c r="J349" i="5"/>
  <c r="J151" i="5"/>
  <c r="C5" i="2"/>
  <c r="F5" i="2" s="1"/>
  <c r="F6" i="2"/>
  <c r="F38" i="2"/>
  <c r="F37" i="2"/>
  <c r="H71" i="5" l="1"/>
  <c r="H34" i="5"/>
  <c r="F46" i="2" l="1"/>
  <c r="C63" i="1"/>
  <c r="D63" i="1"/>
  <c r="C64" i="1"/>
  <c r="D64" i="1"/>
  <c r="C65" i="1"/>
  <c r="D65" i="1"/>
  <c r="C57" i="1"/>
  <c r="D57" i="1"/>
  <c r="C58" i="1"/>
  <c r="D58" i="1"/>
  <c r="C59" i="1"/>
  <c r="D59" i="1"/>
  <c r="C60" i="1"/>
  <c r="D60" i="1"/>
  <c r="C61" i="1"/>
  <c r="D61" i="1"/>
  <c r="C62" i="1"/>
  <c r="D62" i="1"/>
  <c r="D56" i="1"/>
  <c r="C56" i="1"/>
  <c r="D55" i="1"/>
  <c r="C55" i="1"/>
  <c r="D54" i="1"/>
  <c r="C54" i="1"/>
  <c r="D53" i="1"/>
  <c r="C53" i="1"/>
  <c r="K52" i="1"/>
  <c r="K55" i="1" s="1"/>
  <c r="D52" i="1"/>
  <c r="C52" i="1"/>
  <c r="I51" i="1"/>
  <c r="J52" i="1" s="1"/>
  <c r="C68" i="5"/>
  <c r="J570" i="5"/>
  <c r="J569" i="5"/>
  <c r="J568" i="5"/>
  <c r="J566" i="5"/>
  <c r="J561" i="5"/>
  <c r="J560" i="5"/>
  <c r="J580" i="5"/>
  <c r="J579" i="5"/>
  <c r="J577" i="5"/>
  <c r="J578" i="5"/>
  <c r="J576" i="5"/>
  <c r="J565" i="5"/>
  <c r="J557" i="5"/>
  <c r="J556" i="5"/>
  <c r="J555" i="5"/>
  <c r="J553" i="5"/>
  <c r="J552" i="5"/>
  <c r="J550" i="5"/>
  <c r="J530" i="5"/>
  <c r="J528" i="5"/>
  <c r="J525" i="5"/>
  <c r="J523" i="5"/>
  <c r="J521" i="5"/>
  <c r="J519" i="5"/>
  <c r="J512" i="5"/>
  <c r="J510" i="5"/>
  <c r="J507" i="5"/>
  <c r="J505" i="5"/>
  <c r="J502" i="5"/>
  <c r="J500" i="5"/>
  <c r="J497" i="5"/>
  <c r="J495" i="5"/>
  <c r="J493" i="5"/>
  <c r="J492" i="5"/>
  <c r="J490" i="5"/>
  <c r="J488" i="5"/>
  <c r="J471" i="5"/>
  <c r="J469" i="5"/>
  <c r="J467" i="5"/>
  <c r="J465" i="5"/>
  <c r="J460" i="5"/>
  <c r="J458" i="5"/>
  <c r="J456" i="5"/>
  <c r="J454" i="5"/>
  <c r="J451" i="5"/>
  <c r="J449" i="5"/>
  <c r="J447" i="5"/>
  <c r="J445" i="5"/>
  <c r="J442" i="5"/>
  <c r="C34" i="2"/>
  <c r="F34" i="2" s="1"/>
  <c r="D27" i="1"/>
  <c r="D114" i="1" s="1"/>
  <c r="C10" i="1"/>
  <c r="D10" i="1"/>
  <c r="C8" i="1"/>
  <c r="D8" i="1"/>
  <c r="C9" i="1"/>
  <c r="D9" i="1"/>
  <c r="C342" i="5"/>
  <c r="E64" i="1" l="1"/>
  <c r="E59" i="1"/>
  <c r="E63" i="1"/>
  <c r="E56" i="1"/>
  <c r="L52" i="1"/>
  <c r="L55" i="1" s="1"/>
  <c r="E52" i="1"/>
  <c r="E54" i="1"/>
  <c r="E53" i="1"/>
  <c r="E55" i="1"/>
  <c r="E58" i="1"/>
  <c r="E60" i="1"/>
  <c r="E62" i="1"/>
  <c r="E65" i="1"/>
  <c r="E61" i="1"/>
  <c r="E57" i="1"/>
  <c r="D68" i="1"/>
  <c r="J27" i="1"/>
  <c r="J581" i="5"/>
  <c r="J582" i="5" s="1"/>
  <c r="J472" i="5"/>
  <c r="J473" i="5" s="1"/>
  <c r="J513" i="5"/>
  <c r="J514" i="5" s="1"/>
  <c r="J531" i="5"/>
  <c r="J532" i="5" s="1"/>
  <c r="J461" i="5"/>
  <c r="J462" i="5" s="1"/>
  <c r="E342" i="5"/>
  <c r="J342" i="5" s="1"/>
  <c r="J572" i="5"/>
  <c r="J573" i="5" s="1"/>
  <c r="E8" i="1"/>
  <c r="E10" i="1"/>
  <c r="E9" i="1"/>
  <c r="F32" i="2" l="1"/>
  <c r="J584" i="5"/>
  <c r="C44" i="2" s="1"/>
  <c r="F44" i="2" s="1"/>
  <c r="E68" i="1"/>
  <c r="J474" i="5"/>
  <c r="C40" i="2" s="1"/>
  <c r="F40" i="2" s="1"/>
  <c r="J534" i="5"/>
  <c r="C42" i="2" s="1"/>
  <c r="F42" i="2" s="1"/>
  <c r="I68" i="1" l="1"/>
  <c r="F72" i="1" s="1"/>
  <c r="J72" i="1" s="1"/>
  <c r="J75" i="1" s="1"/>
  <c r="F20" i="2"/>
  <c r="E168" i="5"/>
  <c r="J138" i="5"/>
  <c r="J140" i="5" s="1"/>
  <c r="C69" i="5"/>
  <c r="C168" i="5" s="1"/>
  <c r="E101" i="5"/>
  <c r="E104" i="5" s="1"/>
  <c r="E69" i="5"/>
  <c r="F8" i="2"/>
  <c r="E31" i="5"/>
  <c r="J423" i="5" l="1"/>
  <c r="C35" i="2" s="1"/>
  <c r="F35" i="2" s="1"/>
  <c r="E334" i="5"/>
  <c r="J351" i="5" s="1"/>
  <c r="J352" i="5" s="1"/>
  <c r="J381" i="5" s="1"/>
  <c r="C27" i="2" s="1"/>
  <c r="F18" i="2"/>
  <c r="J226" i="5"/>
  <c r="J250" i="5" s="1"/>
  <c r="C22" i="2" s="1"/>
  <c r="H168" i="5"/>
  <c r="H175" i="5" s="1"/>
  <c r="H178" i="5" s="1"/>
  <c r="H142" i="5"/>
  <c r="J143" i="5" s="1"/>
  <c r="C13" i="2" s="1"/>
  <c r="F13" i="2" s="1"/>
  <c r="H104" i="5"/>
  <c r="H69" i="5"/>
  <c r="H70" i="5" s="1"/>
  <c r="H72" i="5" s="1"/>
  <c r="H80" i="5" s="1"/>
  <c r="H31" i="5"/>
  <c r="H32" i="5" s="1"/>
  <c r="H35" i="5" s="1"/>
  <c r="H50" i="5" s="1"/>
  <c r="H106" i="5" l="1"/>
  <c r="H119" i="5" s="1"/>
  <c r="J152" i="5"/>
  <c r="J153" i="5" s="1"/>
  <c r="F9" i="2"/>
  <c r="H141" i="5"/>
  <c r="J141" i="5" s="1"/>
  <c r="C12" i="2" s="1"/>
  <c r="F12" i="2" s="1"/>
  <c r="E337" i="5"/>
  <c r="F339" i="5" s="1"/>
  <c r="F27" i="2"/>
  <c r="J7" i="5"/>
  <c r="C4" i="2" s="1"/>
  <c r="F4" i="2" s="1"/>
  <c r="F106" i="2"/>
  <c r="F105" i="2"/>
  <c r="F104" i="2"/>
  <c r="F103" i="2"/>
  <c r="F102" i="2"/>
  <c r="F101" i="2"/>
  <c r="F100" i="2"/>
  <c r="F99" i="2"/>
  <c r="C7" i="1"/>
  <c r="D7" i="1"/>
  <c r="C11" i="1"/>
  <c r="I104" i="1"/>
  <c r="I103" i="1"/>
  <c r="J103" i="1" s="1"/>
  <c r="I101" i="1"/>
  <c r="J102" i="1" s="1"/>
  <c r="C104" i="1"/>
  <c r="D103" i="1"/>
  <c r="C103" i="1"/>
  <c r="D102" i="1"/>
  <c r="C102" i="1"/>
  <c r="H154" i="5" l="1"/>
  <c r="J154" i="5" s="1"/>
  <c r="C15" i="2" s="1"/>
  <c r="F15" i="2" s="1"/>
  <c r="H156" i="5"/>
  <c r="J156" i="5" s="1"/>
  <c r="C16" i="2" s="1"/>
  <c r="F16" i="2" s="1"/>
  <c r="F22" i="2"/>
  <c r="F107" i="2"/>
  <c r="E7" i="1"/>
  <c r="J104" i="1"/>
  <c r="H102" i="1"/>
  <c r="E102" i="1"/>
  <c r="E103" i="1"/>
  <c r="K102" i="1" l="1"/>
  <c r="L102" i="1" s="1"/>
  <c r="H103" i="1"/>
  <c r="H104" i="1" s="1"/>
  <c r="A104" i="1" s="1"/>
  <c r="D104" i="1" s="1"/>
  <c r="H291" i="5"/>
  <c r="C24" i="2"/>
  <c r="I5" i="1"/>
  <c r="D6" i="1"/>
  <c r="C6" i="1"/>
  <c r="K103" i="1" l="1"/>
  <c r="L103" i="1" s="1"/>
  <c r="F24" i="2"/>
  <c r="C25" i="2"/>
  <c r="F25" i="2" s="1"/>
  <c r="E104" i="1"/>
  <c r="E105" i="1" s="1"/>
  <c r="D105" i="1"/>
  <c r="K104" i="1"/>
  <c r="L104" i="1" s="1"/>
  <c r="J6" i="1"/>
  <c r="E6" i="1"/>
  <c r="K105" i="1" l="1"/>
  <c r="L105" i="1"/>
  <c r="I107" i="1" s="1"/>
  <c r="E114" i="1" s="1"/>
  <c r="J114" i="1" l="1"/>
  <c r="D11" i="1"/>
  <c r="E11" i="1" s="1"/>
  <c r="E12" i="1" s="1"/>
  <c r="D12" i="1" l="1"/>
  <c r="K6" i="1"/>
  <c r="K9" i="1" s="1"/>
  <c r="F30" i="2" l="1"/>
  <c r="L6" i="1"/>
  <c r="L9" i="1" s="1"/>
  <c r="I12" i="1" s="1"/>
  <c r="F25" i="1" s="1"/>
  <c r="J25" i="1" s="1"/>
  <c r="J28" i="1" s="1"/>
  <c r="F28" i="2" l="1"/>
  <c r="F50" i="2" s="1"/>
</calcChain>
</file>

<file path=xl/sharedStrings.xml><?xml version="1.0" encoding="utf-8"?>
<sst xmlns="http://schemas.openxmlformats.org/spreadsheetml/2006/main" count="969" uniqueCount="312">
  <si>
    <t>Pre work</t>
  </si>
  <si>
    <t>Post work</t>
  </si>
  <si>
    <t xml:space="preserve"> Sqm</t>
  </si>
  <si>
    <t>cum</t>
  </si>
  <si>
    <t>N/A =</t>
  </si>
  <si>
    <t>Cum</t>
  </si>
  <si>
    <t>m</t>
  </si>
  <si>
    <t>Sl. No. Code no.</t>
  </si>
  <si>
    <t>Item Descriptions</t>
  </si>
  <si>
    <t>Quantity</t>
  </si>
  <si>
    <t>Unit</t>
  </si>
  <si>
    <t>Rate (Tk.)</t>
  </si>
  <si>
    <t>Amount (Tk.)</t>
  </si>
  <si>
    <t>Sl. No.</t>
  </si>
  <si>
    <t xml:space="preserve">Description </t>
  </si>
  <si>
    <t>Measurement</t>
  </si>
  <si>
    <t>x</t>
  </si>
  <si>
    <t>Each</t>
  </si>
  <si>
    <t>Nos</t>
  </si>
  <si>
    <t>Total =</t>
  </si>
  <si>
    <t xml:space="preserve"> x</t>
  </si>
  <si>
    <t xml:space="preserve"> =</t>
  </si>
  <si>
    <t>Total=</t>
  </si>
  <si>
    <t>Kg</t>
  </si>
  <si>
    <t>M</t>
  </si>
  <si>
    <t>;</t>
  </si>
  <si>
    <t>Supplying, sizing and placing in position local hard wood bullah such as Sonali gul, Tetul, Jam etc. including all taxes and incidental charges (bullah measured at 1/3rd. length from thick end excluding the bark)
etc. complete as per direction of Engineer in charge.                       
40-680-20:Above  13  cm  to  15  cm</t>
  </si>
  <si>
    <r>
      <rPr>
        <u/>
        <sz val="9"/>
        <color rgb="FFFF0000"/>
        <rFont val="Arial"/>
        <family val="2"/>
      </rPr>
      <t>1</t>
    </r>
    <r>
      <rPr>
        <sz val="9"/>
        <color rgb="FFFF0000"/>
        <rFont val="Arial"/>
        <family val="2"/>
      </rPr>
      <t xml:space="preserve">
40-680
40-680-20
</t>
    </r>
  </si>
  <si>
    <t>Labour charge for driving local hard bullah such as Sonali gul, Tetul, Jam etc. bullah piles on dry land, by monkey hammer etc. complete including charges for all  quipments as per direction of Engineer in charge.                                                                                                        40-690-20:Above  13  cm  to  15  cm</t>
  </si>
  <si>
    <r>
      <rPr>
        <u/>
        <sz val="9"/>
        <color rgb="FFFF0000"/>
        <rFont val="Arial"/>
        <family val="2"/>
      </rPr>
      <t xml:space="preserve">
2</t>
    </r>
    <r>
      <rPr>
        <sz val="9"/>
        <color rgb="FFFF0000"/>
        <rFont val="Arial"/>
        <family val="2"/>
      </rPr>
      <t xml:space="preserve">
40-690
40-690-20
</t>
    </r>
  </si>
  <si>
    <t>Supplying, sizing and placing of barrack bamboo pins and stays of  diameter &gt;= 8.0 cm in position etc. complete as per direction of  Engineer in charge.
40-720-10 :Length: &gt;= 4.5 m to &lt;= 6.0 m.</t>
  </si>
  <si>
    <r>
      <t xml:space="preserve">
</t>
    </r>
    <r>
      <rPr>
        <u/>
        <sz val="9"/>
        <color rgb="FFFF0000"/>
        <rFont val="Arial"/>
        <family val="2"/>
      </rPr>
      <t>3</t>
    </r>
    <r>
      <rPr>
        <sz val="9"/>
        <color rgb="FFFF0000"/>
        <rFont val="Arial"/>
        <family val="2"/>
      </rPr>
      <t xml:space="preserve">
40-720
40-720-10</t>
    </r>
  </si>
  <si>
    <t>Labour charge for driving barrack bamboo pins of diameter &gt;= 8.0 cm, by hammer or monkey hammer, as per direction of Engineer in charge.                                                                                                     
40-730-10:.&gt;= 1.50 m to &lt;= 2.0 m drive, on dry land.</t>
  </si>
  <si>
    <r>
      <rPr>
        <u/>
        <sz val="9"/>
        <color rgb="FFC00000"/>
        <rFont val="Arial"/>
        <family val="2"/>
      </rPr>
      <t xml:space="preserve">
4</t>
    </r>
    <r>
      <rPr>
        <sz val="9"/>
        <color rgb="FFC00000"/>
        <rFont val="Arial"/>
        <family val="2"/>
      </rPr>
      <t xml:space="preserve">
40-730
40-730-10</t>
    </r>
  </si>
  <si>
    <t>Supplying, fitting and fixing of half sawn local hard wood walling pieces, fitted with 20mm. dia bolts and nuts at 1.0m c/c etc. complete as per directoin of Engineer in charge:                                                                                   
40-710-10: 15  cm  to  18  cm  dia</t>
  </si>
  <si>
    <t>5
40-710</t>
  </si>
  <si>
    <t>[For Emergency Work]
Supplying and filling empty gunny/synthetic bags as approved in design &amp; drawing with sand/ earth available at site sewing the end
with sutly, including carrying and placing in position within the site  with supply of all materials as per direction of Engineer in charge.
40-650-30: Capacity : 50 kg (Synthetic bag)</t>
  </si>
  <si>
    <r>
      <rPr>
        <u/>
        <sz val="9"/>
        <color rgb="FFC00000"/>
        <rFont val="Arial"/>
        <family val="2"/>
      </rPr>
      <t xml:space="preserve">
6</t>
    </r>
    <r>
      <rPr>
        <sz val="9"/>
        <color rgb="FFC00000"/>
        <rFont val="Arial"/>
        <family val="2"/>
      </rPr>
      <t xml:space="preserve">
40-650
40-650-30</t>
    </r>
  </si>
  <si>
    <t>M.S Work for reinforcement with Standard deformed bar fy=300 N/mm^2 in RCC works including local handling, cutting,
forging,bending,cleaning and fabrication with supply of deformed M.S. bar in different sizes and bending with 22 to 18 gages G.I. wire etc. complete including the cost of all materials as per direction of Engineer in charge.           
76-115-20:  8mm dia to 30mm dia</t>
  </si>
  <si>
    <t>kg</t>
  </si>
  <si>
    <r>
      <rPr>
        <u/>
        <sz val="9"/>
        <color rgb="FFC00000"/>
        <rFont val="Arial"/>
        <family val="2"/>
      </rPr>
      <t>7</t>
    </r>
    <r>
      <rPr>
        <sz val="9"/>
        <color rgb="FFC00000"/>
        <rFont val="Arial"/>
        <family val="2"/>
      </rPr>
      <t xml:space="preserve">
76-115
76-115-20
</t>
    </r>
  </si>
  <si>
    <t>Earth work by manual labour in constructing/ resectioning of embankment/ canal bank/ road etc. with clayey soil(minimum 30% clay, 0-40% silt and 0-30% sand) within the initial lead of 30m, and all lifts including throwing the spoils to profiles in layers not exceeding 150mm in thickness, clod breaking upto a maximum size of  100mm, benching the side slopes, stripping/ ploughing the base of embankment and borrow pit area, dug bailing, cutting trees upto 200mm girth, with uprooting stumps, clearing jungles, bailing out water, rough dressing and 150mm cambering at the centre of the crest etc. complete as per specification and direction of Engineer in charge.
16-110-10 : 0 to 3 m height.</t>
  </si>
  <si>
    <r>
      <rPr>
        <u/>
        <sz val="9"/>
        <color rgb="FFC00000"/>
        <rFont val="Arial"/>
        <family val="2"/>
      </rPr>
      <t>8</t>
    </r>
    <r>
      <rPr>
        <sz val="9"/>
        <color rgb="FFC00000"/>
        <rFont val="Arial"/>
        <family val="2"/>
      </rPr>
      <t xml:space="preserve">
16-110
16-110-10</t>
    </r>
  </si>
  <si>
    <t xml:space="preserve">Abstract cost of Estimate for Emergency temporary protective work at left bank of Mongla - Ghasiakhali Channel from km 0.600 to km 0.700 = 100m to protect Rampal Upazila Council and adjacent area in Upazila Rampal, Dist. Bagerhat  under NDR Budget under Bagerhat O&amp;M Division, BWDB, Bagerhat, during the year  2019-2020. </t>
  </si>
  <si>
    <t>1/                                                 04-180</t>
  </si>
  <si>
    <t>Site preparation by manually removing all miscellaneous objectional materials from entire site and removing soil upto 15cm depth including uprooting stumps, jungle clearing, levelling dressing etc. complete as per direction of Engineer in charge.</t>
  </si>
  <si>
    <t>sqm</t>
  </si>
  <si>
    <t>Area =</t>
  </si>
  <si>
    <r>
      <rPr>
        <u/>
        <sz val="9"/>
        <rFont val="Arial"/>
        <family val="2"/>
      </rPr>
      <t>1</t>
    </r>
    <r>
      <rPr>
        <sz val="9"/>
        <rFont val="Arial"/>
        <family val="2"/>
      </rPr>
      <t xml:space="preserve">
04-180
</t>
    </r>
  </si>
  <si>
    <t xml:space="preserve">Manufacturing and supplying C.C. blocks in leanest mix. 1:2:4 with cement, sand (FM&gt;=2.0) and Stone Chips (40mm down graded) to attain a 28 days cylinder strength of 18 N/mm² including grading, washing stone chips, mixing, laying in forms, onsolidation, curing for at least 21 days, including preparation of platform, shuttering and stacking in measurable stacks etc.  omplete including supply of all materials (steel shutter to be used) as per direction of Engineer in charge.
</t>
  </si>
  <si>
    <t>A) 40-230-25</t>
  </si>
  <si>
    <t>Block Size: 45cmx45cmx45cm.</t>
  </si>
  <si>
    <t>per cum</t>
  </si>
  <si>
    <t xml:space="preserve"> 60 % of</t>
  </si>
  <si>
    <t>Per block volume =</t>
  </si>
  <si>
    <t>No of block =</t>
  </si>
  <si>
    <t>Manufacturing and supplying C.C. blocks in leanest mix. 1:2:4 with cement, sand (FM&gt;=2.0) and Stone Chips (40mm down graded) to attain a 28 days cylinder strength of 18 N/mm² including grading, washing stone chips, mixing, laying in forms, onsolidation, curing for at least 21 days, including preparation of platform, shuttering and stacking in measurable stacks etc.  omplete including supply of all materials (steel shutter to be used) as per direction of Engineer in charge.</t>
  </si>
  <si>
    <t xml:space="preserve"> 40 % of</t>
  </si>
  <si>
    <t>B) 40-230-45</t>
  </si>
  <si>
    <t>Block Size: 35cmx35cmx35cm.</t>
  </si>
  <si>
    <t>Slope =</t>
  </si>
  <si>
    <t>Top width =</t>
  </si>
  <si>
    <t>Within 200 m.</t>
  </si>
  <si>
    <t>A) 40-270-10</t>
  </si>
  <si>
    <t>45x45x45=</t>
  </si>
  <si>
    <t>35x35x35=</t>
  </si>
  <si>
    <t>B) 40-270-20</t>
  </si>
  <si>
    <t>200 m to 500 m.</t>
  </si>
  <si>
    <t>B) 40-280-20</t>
  </si>
  <si>
    <t>Volume =</t>
  </si>
  <si>
    <t>Length =</t>
  </si>
  <si>
    <t>"[Dumping with Barge &amp; Total Station]
Filling and dumping of geo-textile bags of different sizes and capacity at project/work site, protecting from UV ray or any other damages,
filling with sand (dry and minimum 80% sand must be retained on sieve no 100), sewing along one transverse (top) side after filling, staking in measurable/countable stakes, marking with synthetic enamel paint during counting, dumping from properly positioned and anchored flat top barge/pontoon over an area as per drawing,
maintaining &amp; recording the dumping position of the barge/pontoon uning total station including loading, unloading, sequential piling of geo-bags on the dumping edge of barge/pontoon, cost of all materials &amp; equipments and its mobilization, labour, incidental charges, etc. complete as per technical specification, approved design and direction of Engineer in charge.
[fill volume and weight will be measured after filling with dry sand]"</t>
  </si>
  <si>
    <t>Quantity same as geo-bag =</t>
  </si>
  <si>
    <t>Supplying and laying sand as filter layers as per specific size ranges
and gradation including preparation of surface, compacting in layer
etc. complete with supply of all materials and as per direction of
Engineer in charge.</t>
  </si>
  <si>
    <t>40-550-30</t>
  </si>
  <si>
    <t>FM : 1.0 to 1.5</t>
  </si>
  <si>
    <t>Supplying and laying sand as filter layers as per specific size ranges and gradation including preparation of surface, compacting in layer
etc. complete with supply of all materials and as per direction of Engineer in charge.</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</si>
  <si>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t>
  </si>
  <si>
    <t>Well graded between 40mm to 20mm size.</t>
  </si>
  <si>
    <t>Well graded between 20mm to 5mm size.
(Combination of sub-item 10 &amp; 30 or 20 &amp; 30 shall be used)</t>
  </si>
  <si>
    <t>A)40-520-20</t>
  </si>
  <si>
    <t>B)40-520-30</t>
  </si>
  <si>
    <t>same as quantity =</t>
  </si>
  <si>
    <t>40-500-40</t>
  </si>
  <si>
    <t>Mass =&gt;400 gm/m², thickness(Under 2 kpa pressure) =&gt;3.00 mm,
EoS&lt;=0.08mm, strip tensile strength =&gt;23 kn/m, grab strength
=&gt;1500 N, CBR puncture resistance =&gt;3800 N</t>
  </si>
  <si>
    <t>Mass =&gt;400 gm/m², thickness(Under 2 kpa pressure) =&gt;3.00 mm, EoS&lt;=0.08mm, strip tensile strength =&gt;23 kn/m, grab strength
=&gt;1500 N, CBR puncture resistance =&gt;3800 N.</t>
  </si>
  <si>
    <t>Top</t>
  </si>
  <si>
    <t>Lapping</t>
  </si>
  <si>
    <t>Roll =</t>
  </si>
  <si>
    <t>No of part =</t>
  </si>
  <si>
    <t>Earth work in cutting and filling of eroded bank of river, channel etc. to design slope, including levelling, dressing and compacting the earth in 150mm layers and preparation of the base for bank protection work
and use the excess material for filling the ditches on the bank within 50 m or specified in the drawing, if no ditches to be filled then excess material shall be disposed of at least 100 m from the bank line on C/S etc. complete as per direction of Engineer in charge.</t>
  </si>
  <si>
    <t>Vol =</t>
  </si>
  <si>
    <t>Toe portion</t>
  </si>
  <si>
    <t xml:space="preserve">Earth work in cutting and filling of eroded bank of river, channel etc. to design slope, including levelling, dressing and compacting the earth
in 150mm layers and preparation of the base for bank protection work and use the excess material for filling the ditches on the bank within 50 m or specified in the drawing, if no ditches to be filled then excess material shall be disposed of at least 100 m from the bank line on C/S etc. complete as per direction of Engineer in charge. </t>
  </si>
  <si>
    <t>Vol</t>
  </si>
  <si>
    <t>Bulkhead/cargo/boat or any other means: within 1 km along the river</t>
  </si>
  <si>
    <t>Site office of minimum 38 sqm plinth area.</t>
  </si>
  <si>
    <t>Erection and maintenance of site office and removal of the same after completion of work as per approved plans &amp; drawings for the use of the Engineer-in-charge &amp; his staff, Task force and field laboratory
with adequate foundation, brick walls, acceptable outside &amp; inside wall surface, concrete floor with floor tiles, false ceiling of gypsum board, windows are to be glazed &amp; provided with steel grill &amp; screen/blinds, doors with approved locks, furniture &amp; fittings of approved quality, equipment &amp; plant of approved quality, electricity, running water, sewerage, security fencing, 5 KVA stand-bye generator, IBM compatible PC with monitor, uninterruptible power supply (UPS), LaserJet printer (minimum 25
ppm), first aid-box, safety helmet, level/theodolite/EDM, consumables, stationeries, day &amp; night guards &amp; a tea boy and site office shall be ready for occupation by the Engineer-in-charge
within 28 days of commencement of work, etc. complete as per direction of Engineer-in-charge. 
(This is a time related item; proportionate payment for this item shall
be made distributing in each bill on the basis of percentage progress of
the whole works under contract)</t>
  </si>
  <si>
    <t>No of site office =</t>
  </si>
  <si>
    <t>Temporary lease of land for 1 (one) year with necessary compensation</t>
  </si>
  <si>
    <t>With stone chips.</t>
  </si>
  <si>
    <t>For ghat</t>
  </si>
  <si>
    <t>Cut of wall Top &amp; bot</t>
  </si>
  <si>
    <t xml:space="preserve">Base </t>
  </si>
  <si>
    <t>bot</t>
  </si>
  <si>
    <t>Stair</t>
  </si>
  <si>
    <t>Step</t>
  </si>
  <si>
    <t>Guide wall</t>
  </si>
  <si>
    <t>Seat wall</t>
  </si>
  <si>
    <t xml:space="preserve">Seat </t>
  </si>
  <si>
    <t>side</t>
  </si>
  <si>
    <t>Nos ghat</t>
  </si>
  <si>
    <t>Name plate</t>
  </si>
  <si>
    <t>Base</t>
  </si>
  <si>
    <t>Post base to GL</t>
  </si>
  <si>
    <t>Post above GL</t>
  </si>
  <si>
    <t>Nos Name plate</t>
  </si>
  <si>
    <t>M.S. Work for reinforcement with deformed M.S. bar, fy=300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t>
  </si>
  <si>
    <t>8mm dia to 30mm dia.</t>
  </si>
  <si>
    <t>76-110-10</t>
  </si>
  <si>
    <t xml:space="preserve">M.S. Work for reinforcement with deformed M.S. bar, fy=300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</si>
  <si>
    <t>Cut of wall stair top &amp; bot wall</t>
  </si>
  <si>
    <t>D-12 @ 150 mm c/c</t>
  </si>
  <si>
    <t>D-12 @ 150 mm c/c binder</t>
  </si>
  <si>
    <t xml:space="preserve">stair D-12 @ 150 mm c/c </t>
  </si>
  <si>
    <t>6 D-12</t>
  </si>
  <si>
    <t>Ring D-10 @ 200 mm c/c</t>
  </si>
  <si>
    <t xml:space="preserve"> D-12 @ 200 mm c/c main</t>
  </si>
  <si>
    <t xml:space="preserve"> D-12 @ 150 mm c/c binder</t>
  </si>
  <si>
    <t>3 D-12</t>
  </si>
  <si>
    <t>binder</t>
  </si>
  <si>
    <t xml:space="preserve">seat </t>
  </si>
  <si>
    <t>4 D-12</t>
  </si>
  <si>
    <t xml:space="preserve"> D-12 @ 150mm c/c</t>
  </si>
  <si>
    <t>base</t>
  </si>
  <si>
    <t>D-12 @ 150mm c/c</t>
  </si>
  <si>
    <t>D-12 @ 150mm c/c binder</t>
  </si>
  <si>
    <t>Post</t>
  </si>
  <si>
    <t>4D-12</t>
  </si>
  <si>
    <t>D-10 Ring @ 200</t>
  </si>
  <si>
    <t>Plate</t>
  </si>
  <si>
    <t>7 D-10</t>
  </si>
  <si>
    <t>3 D-10</t>
  </si>
  <si>
    <t>36-300-10</t>
  </si>
  <si>
    <t>Individual and continuous footing of column, raft etc. with 25mm
thick wooden planks.</t>
  </si>
  <si>
    <t xml:space="preserve">Cut of wall </t>
  </si>
  <si>
    <t>seat bot base</t>
  </si>
  <si>
    <t>stair</t>
  </si>
  <si>
    <t>step</t>
  </si>
  <si>
    <t>face</t>
  </si>
  <si>
    <t xml:space="preserve">Form work for centering and water tight shuttering as per drawing with wooden planks of different thickness including supply of polythene sheet (1 kg covering 6.5 sqm ) for making  shuttering leakproof for all sorts of R.C.C. works in building construction including fitting, fixing by nails, tie rods, nuts and bolts to desired shape and size including levelling and removing the forms etc. after specified period including the cost of all materials as per direction of Engineer in charge.
</t>
  </si>
  <si>
    <t>Individual and continuous footing of column, raft etc. with 25mm thick wooden planks.</t>
  </si>
  <si>
    <t>column</t>
  </si>
  <si>
    <t>plate</t>
  </si>
  <si>
    <t>Total</t>
  </si>
  <si>
    <t>Guide  wall</t>
  </si>
  <si>
    <t>Seat bot</t>
  </si>
  <si>
    <t>Earth Calculation for Protective work along the Right Bank of Boleswar River from km 22.200 to km 25.300 ; Total = 3.100 km Gabtola to Bogi under Polder No. 35/1,  Upazila - Morrelganj, District- Bagerhat under Bagerhat O&amp;M Division, BWDB, Bagerhat.</t>
  </si>
  <si>
    <t>Synthetic bag/Ganny bag</t>
  </si>
  <si>
    <t>No of bag</t>
  </si>
  <si>
    <t>cum per bag</t>
  </si>
  <si>
    <t>40-460-10</t>
  </si>
  <si>
    <t>[Geo-textile bag filled with sand cement mixture] Supplying filling and placing of geo-textile bags of different sizes and
capacity at project/work site, making with standard geo-textile fabric (100% Polypropylene fabric, mass&gt;= 400gm/m², unit weight : 855 Kg/m3 to 946 Kg/m3, EOS&lt;=0.075 mm) and sewing in accordance with the drawing and Technical Specifications of BWDB and
Schedule of Rates of BWDB, filling with sand-cement mixed (6:1 Proportion, sand: F.M ≥ 1.00, Portland cement) ,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t>
  </si>
  <si>
    <t>Geo-bag; inner size:950mmx750mm, outer size:1000mmx800mm
geo-fabric th.=&gt;3.0mm, Fill Vol: 0.0840cum; wt: 125kg</t>
  </si>
  <si>
    <t>Geo-bag; inner size:950mmx750mm, outer size:1000mmx800mm geo-fabric th.=&gt;3.0mm, Fill Vol: 0.0840cum; wt: 125kg</t>
  </si>
  <si>
    <t>28-200-10</t>
  </si>
  <si>
    <t>Supplying of geo-textile bags (empty) of different sizes and capacity at project/work site, making the bag with standard Geo-Textile fabric (100% Polypropylene Fabric, mass&gt;= 400gm/m², unit weight : 855 Kg/m3 to 946 Kg/m3, EOS&lt;=0.075 mm) and sewing in accordance with the detailed drawing and Technical Specifications included in the Tender Document and Schedule of Rates of BWDB, protecting the geo-textile bags form UV ray or any other damages including cost of all materials, labours, incidental charges etc. complete as per direction of Engineer in charge.</t>
  </si>
  <si>
    <t>A) 40-290-10</t>
  </si>
  <si>
    <t>B) 40-290-20</t>
  </si>
  <si>
    <t>70 % of =</t>
  </si>
  <si>
    <t>30% of =</t>
  </si>
  <si>
    <t xml:space="preserve">River Morphological Data Collection/Bathametric and river bank topograpy Survey </t>
  </si>
  <si>
    <t>10-140-40</t>
  </si>
  <si>
    <t>61 m to 100m</t>
  </si>
  <si>
    <t>Pre work, post work and ongoing work Photograp and video of the project work including aerial video and editing.</t>
  </si>
  <si>
    <r>
      <rPr>
        <u/>
        <sz val="9"/>
        <rFont val="Arial"/>
        <family val="2"/>
      </rPr>
      <t>2</t>
    </r>
    <r>
      <rPr>
        <sz val="9"/>
        <rFont val="Arial"/>
        <family val="2"/>
      </rPr>
      <t xml:space="preserve">
16-100
</t>
    </r>
  </si>
  <si>
    <t>Erection of bamboo profile with full bamboo posts and pegs not less than 60mm in diameter and coir strings etc. complete as per direction
of Engineer in charge.</t>
  </si>
  <si>
    <r>
      <rPr>
        <u/>
        <sz val="9"/>
        <rFont val="Arial"/>
        <family val="2"/>
      </rPr>
      <t>3</t>
    </r>
    <r>
      <rPr>
        <sz val="9"/>
        <rFont val="Arial"/>
        <family val="2"/>
      </rPr>
      <t xml:space="preserve">
04-120
</t>
    </r>
  </si>
  <si>
    <r>
      <rPr>
        <u/>
        <sz val="9"/>
        <rFont val="Arial"/>
        <family val="2"/>
      </rPr>
      <t>4</t>
    </r>
    <r>
      <rPr>
        <sz val="9"/>
        <rFont val="Arial"/>
        <family val="2"/>
      </rPr>
      <t xml:space="preserve">
40-230
</t>
    </r>
  </si>
  <si>
    <r>
      <rPr>
        <u/>
        <sz val="9"/>
        <rFont val="Arial"/>
        <family val="2"/>
      </rPr>
      <t>5</t>
    </r>
    <r>
      <rPr>
        <sz val="9"/>
        <rFont val="Arial"/>
        <family val="2"/>
      </rPr>
      <t xml:space="preserve">
40-270
</t>
    </r>
  </si>
  <si>
    <r>
      <rPr>
        <u/>
        <sz val="9"/>
        <rFont val="Arial"/>
        <family val="2"/>
      </rPr>
      <t>6</t>
    </r>
    <r>
      <rPr>
        <sz val="9"/>
        <rFont val="Arial"/>
        <family val="2"/>
      </rPr>
      <t xml:space="preserve">
40-290
</t>
    </r>
  </si>
  <si>
    <t>2/                                                 04-180</t>
  </si>
  <si>
    <t>No of profile =</t>
  </si>
  <si>
    <t>3/                                                 04-120</t>
  </si>
  <si>
    <t>Construction of B.M. Pillars at site with first class bricks in cement mortar (1:4) of size 38cmx38cmx75cm on cement concrete (1:2:4)
base of size 50cmx50cmx7.5cm with 12mm thick cement plastering (1:2) on exposed surfaces of pillar and cement mortar on top (1:2), with inscription of "BWDB" with 25cm of the pillar below ground level etc. complete including ramming the backfill and the cost of all
materials as per direction of Engineer in charg</t>
  </si>
  <si>
    <t>No of BM Piller</t>
  </si>
  <si>
    <t xml:space="preserve">4/                    40-230                         </t>
  </si>
  <si>
    <t>5/                                          40-270</t>
  </si>
  <si>
    <t>6/                                          40-290</t>
  </si>
  <si>
    <t>7
40-320</t>
  </si>
  <si>
    <t>7/                                         40-320</t>
  </si>
  <si>
    <r>
      <rPr>
        <u/>
        <sz val="9"/>
        <rFont val="Arial"/>
        <family val="2"/>
      </rPr>
      <t xml:space="preserve">
8</t>
    </r>
    <r>
      <rPr>
        <sz val="9"/>
        <rFont val="Arial"/>
        <family val="2"/>
      </rPr>
      <t xml:space="preserve">
40-330
</t>
    </r>
  </si>
  <si>
    <t>8/                   40-330</t>
  </si>
  <si>
    <r>
      <rPr>
        <u/>
        <sz val="9"/>
        <rFont val="Arial"/>
        <family val="2"/>
      </rPr>
      <t xml:space="preserve">
9</t>
    </r>
    <r>
      <rPr>
        <sz val="9"/>
        <rFont val="Arial"/>
        <family val="2"/>
      </rPr>
      <t xml:space="preserve">
40-550
</t>
    </r>
  </si>
  <si>
    <r>
      <rPr>
        <u/>
        <sz val="9"/>
        <rFont val="Times New Roman"/>
        <family val="1"/>
      </rPr>
      <t xml:space="preserve">9
</t>
    </r>
    <r>
      <rPr>
        <sz val="9"/>
        <rFont val="Times New Roman"/>
        <family val="1"/>
      </rPr>
      <t xml:space="preserve">40-550
</t>
    </r>
  </si>
  <si>
    <r>
      <rPr>
        <u/>
        <sz val="9"/>
        <rFont val="Arial"/>
        <family val="2"/>
      </rPr>
      <t xml:space="preserve">
10</t>
    </r>
    <r>
      <rPr>
        <sz val="9"/>
        <rFont val="Arial"/>
        <family val="2"/>
      </rPr>
      <t xml:space="preserve">
40-520
</t>
    </r>
  </si>
  <si>
    <r>
      <rPr>
        <u/>
        <sz val="9"/>
        <rFont val="Times New Roman"/>
        <family val="1"/>
      </rPr>
      <t xml:space="preserve">10
</t>
    </r>
    <r>
      <rPr>
        <sz val="9"/>
        <rFont val="Times New Roman"/>
        <family val="1"/>
      </rPr>
      <t xml:space="preserve">40-520
</t>
    </r>
  </si>
  <si>
    <r>
      <rPr>
        <u/>
        <sz val="9"/>
        <rFont val="Arial"/>
        <family val="2"/>
      </rPr>
      <t xml:space="preserve">
11</t>
    </r>
    <r>
      <rPr>
        <sz val="9"/>
        <rFont val="Arial"/>
        <family val="2"/>
      </rPr>
      <t xml:space="preserve">
40-500
</t>
    </r>
  </si>
  <si>
    <r>
      <rPr>
        <u/>
        <sz val="9"/>
        <rFont val="Times New Roman"/>
        <family val="1"/>
      </rPr>
      <t xml:space="preserve">11
</t>
    </r>
    <r>
      <rPr>
        <sz val="9"/>
        <rFont val="Times New Roman"/>
        <family val="1"/>
      </rPr>
      <t xml:space="preserve">40-500
</t>
    </r>
  </si>
  <si>
    <r>
      <rPr>
        <u/>
        <sz val="9"/>
        <rFont val="Times New Roman"/>
        <family val="1"/>
      </rPr>
      <t xml:space="preserve">12
</t>
    </r>
    <r>
      <rPr>
        <sz val="9"/>
        <rFont val="Times New Roman"/>
        <family val="1"/>
      </rPr>
      <t xml:space="preserve">40-920
</t>
    </r>
  </si>
  <si>
    <r>
      <rPr>
        <u/>
        <sz val="9"/>
        <rFont val="Arial"/>
        <family val="2"/>
      </rPr>
      <t xml:space="preserve">
12</t>
    </r>
    <r>
      <rPr>
        <sz val="9"/>
        <rFont val="Arial"/>
        <family val="2"/>
      </rPr>
      <t xml:space="preserve">
40-920
</t>
    </r>
  </si>
  <si>
    <r>
      <rPr>
        <u/>
        <sz val="9"/>
        <rFont val="Times New Roman"/>
        <family val="1"/>
      </rPr>
      <t xml:space="preserve">15
</t>
    </r>
    <r>
      <rPr>
        <sz val="9"/>
        <rFont val="Times New Roman"/>
        <family val="1"/>
      </rPr>
      <t xml:space="preserve">4-700
</t>
    </r>
  </si>
  <si>
    <r>
      <rPr>
        <u/>
        <sz val="9"/>
        <rFont val="Arial"/>
        <family val="2"/>
      </rPr>
      <t xml:space="preserve">
16</t>
    </r>
    <r>
      <rPr>
        <sz val="9"/>
        <rFont val="Arial"/>
        <family val="2"/>
      </rPr>
      <t xml:space="preserve">
04-710
</t>
    </r>
  </si>
  <si>
    <r>
      <rPr>
        <u/>
        <sz val="9"/>
        <rFont val="Arial"/>
        <family val="2"/>
      </rPr>
      <t xml:space="preserve">
17</t>
    </r>
    <r>
      <rPr>
        <sz val="9"/>
        <rFont val="Arial"/>
        <family val="2"/>
      </rPr>
      <t xml:space="preserve">
10-140
</t>
    </r>
  </si>
  <si>
    <t xml:space="preserve">17
10-140       </t>
  </si>
  <si>
    <t xml:space="preserve">18
Market Rate      </t>
  </si>
  <si>
    <t xml:space="preserve">19
28-200         </t>
  </si>
  <si>
    <r>
      <rPr>
        <u/>
        <sz val="9"/>
        <rFont val="Arial"/>
        <family val="2"/>
      </rPr>
      <t xml:space="preserve">
19</t>
    </r>
    <r>
      <rPr>
        <sz val="9"/>
        <rFont val="Arial"/>
        <family val="2"/>
      </rPr>
      <t xml:space="preserve">
28-200
</t>
    </r>
  </si>
  <si>
    <r>
      <rPr>
        <u/>
        <sz val="9"/>
        <rFont val="Arial"/>
        <family val="2"/>
      </rPr>
      <t>20</t>
    </r>
    <r>
      <rPr>
        <sz val="9"/>
        <rFont val="Arial"/>
        <family val="2"/>
      </rPr>
      <t xml:space="preserve">
76-110
</t>
    </r>
  </si>
  <si>
    <t>20/                       76-110</t>
  </si>
  <si>
    <r>
      <rPr>
        <u/>
        <sz val="9"/>
        <rFont val="Arial"/>
        <family val="2"/>
      </rPr>
      <t>21</t>
    </r>
    <r>
      <rPr>
        <sz val="9"/>
        <rFont val="Arial"/>
        <family val="2"/>
      </rPr>
      <t xml:space="preserve">
36-300
</t>
    </r>
  </si>
  <si>
    <t>21/                       36-300</t>
  </si>
  <si>
    <r>
      <rPr>
        <u/>
        <sz val="9"/>
        <rFont val="Arial"/>
        <family val="2"/>
      </rPr>
      <t>22</t>
    </r>
    <r>
      <rPr>
        <sz val="9"/>
        <rFont val="Arial"/>
        <family val="2"/>
      </rPr>
      <t xml:space="preserve">
40-460
</t>
    </r>
  </si>
  <si>
    <t>22/                       40-460</t>
  </si>
  <si>
    <r>
      <rPr>
        <u/>
        <sz val="9"/>
        <rFont val="Arial"/>
        <family val="2"/>
      </rPr>
      <t xml:space="preserve">
15</t>
    </r>
    <r>
      <rPr>
        <sz val="9"/>
        <rFont val="Arial"/>
        <family val="2"/>
      </rPr>
      <t xml:space="preserve">
4-700
</t>
    </r>
  </si>
  <si>
    <t>4-700-10</t>
  </si>
  <si>
    <t>Total No of block =</t>
  </si>
  <si>
    <t>70% of  =</t>
  </si>
  <si>
    <t xml:space="preserve">Over lapping Vertical </t>
  </si>
  <si>
    <t>No of geo bag =</t>
  </si>
  <si>
    <t>Par bag area = 0.50 sqm</t>
  </si>
  <si>
    <t>2 layer  =</t>
  </si>
  <si>
    <t>28-120-20</t>
  </si>
  <si>
    <t>With 25mm down graded stone chips.</t>
  </si>
  <si>
    <t>Block Size: 40cmx40cmx20cm.</t>
  </si>
  <si>
    <t xml:space="preserve">Surface Area of a block </t>
  </si>
  <si>
    <t>Top width</t>
  </si>
  <si>
    <t>Slope</t>
  </si>
  <si>
    <t xml:space="preserve">Edging block </t>
  </si>
  <si>
    <t>÷</t>
  </si>
  <si>
    <t>nos</t>
  </si>
  <si>
    <t>Khal</t>
  </si>
  <si>
    <t>Total no. of block</t>
  </si>
  <si>
    <t>C) 40-230-40</t>
  </si>
  <si>
    <t>Labour charge for protective works in laying CC blocks of different sizes including preparation of base, watering and ramming of base etc. complete as per direction of Engineer in charge.</t>
  </si>
  <si>
    <t>40x40x20</t>
  </si>
  <si>
    <t>40-320-15</t>
  </si>
  <si>
    <t>Geo-bag; inner size:1100mmx850mm, outer size:1150mmx900mm,
geo-fabric th.=&gt;3.0mm, Fill Vol: 0.1333cum; wt: 200kg</t>
  </si>
  <si>
    <t xml:space="preserve"> @ 0.1333 cum per bag</t>
  </si>
  <si>
    <t>Geo-bag; inner size:1100mmx850mm, outer size:1150mmx900mm,,
Fill Vol: 0.1333cum; wt: 200kg</t>
  </si>
  <si>
    <t>40-330-15</t>
  </si>
  <si>
    <t>50% of</t>
  </si>
  <si>
    <t>Total length</t>
  </si>
  <si>
    <t>0.2+0.2+1.2+5.59+0.45+1.35+1=</t>
  </si>
  <si>
    <t>Number of vertical joint</t>
  </si>
  <si>
    <t xml:space="preserve">Number of cut piece in one 100 m geo textile  </t>
  </si>
  <si>
    <t>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t>
  </si>
  <si>
    <t xml:space="preserve"> nos</t>
  </si>
  <si>
    <t>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t>
  </si>
  <si>
    <t>Temporary lease of land for 1 (one) year with necessary compensation for crops or this installation on land for site office, material yard, casting yard, staking yard etc. complete as per direction of Engineer in charge</t>
  </si>
  <si>
    <t>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andformworks etc. complete and as per direction of Engineer in charge.</t>
  </si>
  <si>
    <t>[Geo-textile bag filled with sand cement mixture]
Supplying filling and placing of geo-textile bags of different sizes and capacity at project/work site, making with standard geo-textile fabric (100% Polypropylene fabric, mass&gt;= 400gm/m², unit weight : 855 Kg/m3 to 946 Kg/m3, EOS&lt;=0.075 mm) and sewing in accordance with the drawing and Technical Specifications of BWDB and Schedule of Rates of BWDB, filling with sand-cement mixed (6:1 Proportion, sand: F.M ≥ 1.00, Portland cement) , sewing along one transverse (top) side after filling, staking in  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pecification, approved design and direction of Engineer in charge.</t>
  </si>
  <si>
    <t>Construction of B.M. Pillars at site with first class bricks in cement mortar (1:4) of size 38cmx38cmx75cm on cement concrete (1:2:4)
base of size 50cmx50cmx7.5cm with 12mm thick cement plastering (1:2) on exposed surfaces of pillar and cement mortar on top (1:2), with inscription of "BWDB" with 25cm of the pillar below ground level etc. complete including ramming the backfill and the cost of all materials as per direction of Engineer in charge.</t>
  </si>
  <si>
    <t>0 m to 3 m height.</t>
  </si>
  <si>
    <t>A)16-130-10</t>
  </si>
  <si>
    <r>
      <rPr>
        <u/>
        <sz val="9"/>
        <rFont val="Arial"/>
        <family val="2"/>
      </rPr>
      <t xml:space="preserve">
13</t>
    </r>
    <r>
      <rPr>
        <sz val="9"/>
        <rFont val="Arial"/>
        <family val="2"/>
      </rPr>
      <t xml:space="preserve">
16-130
</t>
    </r>
  </si>
  <si>
    <t>Earth work by manual labour in resectioning of embankment/ canal bank/ river slopes/ road/ compound etc. manually compacted by 7.0
kg iron rammer to avoid any air pocket in clayey soil (minimum 30% clay, 0-40% silt and 0-30% sand) within the initial lead of 30m and all lifts including throwing the spoils to profile in layers not exceeding 150mm thickness with clod breaking to a maximum size of 100mm,
removing roots &amp; stumps of trees of girth upto 200mm from the ground, benching the side slopes, stripping/ ploughing the base of
embankment and borrowpit areas, dug bailing, bail out of water, rough dressing including 150mm cambering at the centre of the crest (where necessary) etc. complete as per direction of Engineer in charge.</t>
  </si>
  <si>
    <t>Earth work in excavation of foundation trenches in all kinds of soils including levelling, dressing, placing, removal of spoils to a safedistance with initial lead of 30m and lift of 1.5m as per direction of Engineer in charge.</t>
  </si>
  <si>
    <t>Cement concrete work in leanest mix. 1:3:6 with sand of FM&gt;=1.5, in foundation or floor including breaking, screening, grading and washing aggregates with clear water, mixing, laying in position, consolidation to levels, curing, including supply of all materials,excluding the cost of formworks etc. complete as per direction of Engineer in charge.</t>
  </si>
  <si>
    <t>Form work for centering and water tight shuttering as per drawing with wooden planks of different thickness including supply of polythene sheet (1 kg covering 6.5 sqm ) for making shuttering leakproof for all sorts of R.C.C. works in building construction including fitting, fixing by nails, tie rods, nuts and bolts to desired shape and size including levelling and removing the forms etc. after specified period including the cost of all materials as per direction of
Engineer in charge.</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</si>
  <si>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t>
  </si>
  <si>
    <t>16-500</t>
  </si>
  <si>
    <t>Earth work in excavation of foundation trenches in all kinds of soils including levelling, dressing, placing, removal of spoils to a safe distance with initial lead of 30m and lift of 1.5m as per direction of Engineer in charge.</t>
  </si>
  <si>
    <t>Chainage km 0.00 to chainage km 0.500</t>
  </si>
  <si>
    <t>Chainage km. 0.500 to km 1.000</t>
  </si>
  <si>
    <t>Chainage km. 0.00 to km. 0.500</t>
  </si>
  <si>
    <t>Chainage km. 0.500 to km. 1.000</t>
  </si>
  <si>
    <t>Chainage km 0.500 to km 1.00</t>
  </si>
  <si>
    <t>Area</t>
  </si>
  <si>
    <t>500/0.45</t>
  </si>
  <si>
    <t>Slope key 2 portion</t>
  </si>
  <si>
    <t>45x45x45</t>
  </si>
  <si>
    <t>Dumping work of Hard rock/ stone/ boulders/C.C blocks/brick
blocks/sand cement blocks over a uniform area from properly
positioned by engine boat upto an accuracy of 10cm monitoring with Total Station. The dumping area to be determined by conducting bathymetric survey, furnishing topographic site plan, cross section, dumping alignment, providing location of benchmark and stake at batches of dumping activity, doing by a river survey team ( including survey manager, hydrographic surveyor, Auto cad operator, etc.) with total station. Sequential stacking of Hard rock/ stone/ boulders/C.C blocks/brick blocks/sand cement blocks on the engine boat, carrying the Hard rock/ stone/ boulders/C.C blocks/brick blocks/sand cement
blocks to dumping area and dumping the block from the boat by
manual labour or any other means, all materials &amp; charges etc.
complete as per direction of engineer in charge, specification and
design.</t>
  </si>
  <si>
    <t>0.2+0.2+1.2+7.83+0.45+1.35+0.45+6+0.45+1.35+1=</t>
  </si>
  <si>
    <t>For Guide portion</t>
  </si>
  <si>
    <t>Per bag area = 0.50 sqm</t>
  </si>
  <si>
    <t>For key 2</t>
  </si>
  <si>
    <t>2 layer</t>
  </si>
  <si>
    <t>Chainage km. 0.50 to km. 1.000</t>
  </si>
  <si>
    <t>Total no of geobag</t>
  </si>
  <si>
    <t>3 keys</t>
  </si>
  <si>
    <t>Total no. of Geobag</t>
  </si>
  <si>
    <r>
      <rPr>
        <u/>
        <sz val="9"/>
        <rFont val="Arial"/>
        <family val="2"/>
      </rPr>
      <t>24</t>
    </r>
    <r>
      <rPr>
        <sz val="9"/>
        <rFont val="Arial"/>
        <family val="2"/>
      </rPr>
      <t xml:space="preserve">
28-120
</t>
    </r>
  </si>
  <si>
    <t>24                      28-120</t>
  </si>
  <si>
    <t>Detailed  Estimate for Protective work along the Right Bank of Panguchi River from km 0.000 to km 1.000 ; Total = 1000m at Fulhata Bazar &amp; from km 2.600 to km 4.100 ; Total = 1500m at Sinnikhali ,  Upazila - Morrelganj, District- Bagerhat under Bagerhat O&amp;M Division, BWDB, Bagerhat.</t>
  </si>
  <si>
    <t>Stock pile 0.5 cum</t>
  </si>
  <si>
    <t>Ch. 0.00 to Ch.1.00 at Fulhata Bazar</t>
  </si>
  <si>
    <t>Ch. 2.600 to Ch.4.100= 1500m at Sinnikhali</t>
  </si>
  <si>
    <t>No of section = 25 nos</t>
  </si>
  <si>
    <t xml:space="preserve">No of Video = 25 </t>
  </si>
  <si>
    <t>Filling ditch/pond/channel/khal etc or land development/improvment by dredged earth from river bed (all kind of soil but excluding organic material) , carried by Bulkhead/cargo/ boat or any other mean, loading and unloading/ Disposing/placing the dredged materials in the
designated area upto 1 km from river bank by bulkhead dredger including , maintaining slopes, levelling and dressing in layers upto finished level with all lifts &amp; leads etc. all complete as per direction of the Engineer in charge.</t>
  </si>
  <si>
    <r>
      <rPr>
        <u/>
        <sz val="9"/>
        <rFont val="Times New Roman"/>
        <family val="1"/>
      </rPr>
      <t xml:space="preserve">14
</t>
    </r>
    <r>
      <rPr>
        <sz val="9"/>
        <rFont val="Times New Roman"/>
        <family val="1"/>
      </rPr>
      <t xml:space="preserve">16-720
</t>
    </r>
  </si>
  <si>
    <t>A)16-720-10</t>
  </si>
  <si>
    <r>
      <rPr>
        <u/>
        <sz val="9"/>
        <rFont val="Arial"/>
        <family val="2"/>
      </rPr>
      <t xml:space="preserve">
14</t>
    </r>
    <r>
      <rPr>
        <sz val="9"/>
        <rFont val="Arial"/>
        <family val="2"/>
      </rPr>
      <t xml:space="preserve">
16-720
</t>
    </r>
  </si>
  <si>
    <t xml:space="preserve">16
04-710          </t>
  </si>
  <si>
    <r>
      <rPr>
        <u/>
        <sz val="10"/>
        <rFont val="Times New Roman"/>
        <family val="1"/>
      </rPr>
      <t xml:space="preserve">13
</t>
    </r>
    <r>
      <rPr>
        <sz val="10"/>
        <rFont val="Times New Roman"/>
        <family val="1"/>
      </rPr>
      <t xml:space="preserve">16-130
</t>
    </r>
  </si>
  <si>
    <t>Earth work by manual labour in resectioning of embankment/ canal bank/ river slopes/ road/ compound etc. manually compacted by 7.0kg iron rammer to avoid any air pocket in clayey soil (minimum 30% clay, 0-40% silt and 0-30% sand) within the initial lead of 30m and all lifts including throwing the spoils to profile in layers not exceeding 150mm thickness with clod breaking to a maximum size of 100mm, removing roots &amp; stumps of trees of girth upto 200mm from the ground, benching the side slopes, stripping/ ploughing the base of embankment and borrowpit areas, dug bailing, bail out of water, rough dressing including 150mm cambering at the centre of the crest (where necessary) etc. complete as per direction of Engineer in charge.</t>
  </si>
  <si>
    <t>Total no. block</t>
  </si>
  <si>
    <t>Per bag area = 0.75 sqm</t>
  </si>
  <si>
    <t>Length</t>
  </si>
  <si>
    <t>3 nos Khal</t>
  </si>
  <si>
    <t>Geo-bag;  inner size:1100mmx850mm,            outer size:1150mmx900mm,
geo-fabric th.=&gt;3.0mm, Fill Vol: 0.1333cum; wt: 200kg</t>
  </si>
  <si>
    <t>Supplying of geo-textile bags (empty) of different sizes and capacity at project/work site, making the bag with standard Geo-Textile fabric (100% Polypropylene Fabric, mass&gt;= 400gm/m², unit weight : 855 Kg/m3 to 946 Kg/m3,  OS&lt;=0.075 mm) and sewing in accordance with the detailed drawing and Technical Specifications included in the Tender Document and Schedule of Rates of BWDB, protecting the geo-textile bags form UV ray or any other damages including cost of all materials, labours, incidental charges etc. complete as per direction of Engineer in charge.
.</t>
  </si>
  <si>
    <r>
      <rPr>
        <u/>
        <sz val="9"/>
        <rFont val="Arial"/>
        <family val="2"/>
      </rPr>
      <t xml:space="preserve">
18</t>
    </r>
    <r>
      <rPr>
        <sz val="9"/>
        <rFont val="Arial"/>
        <family val="2"/>
      </rPr>
      <t xml:space="preserve">
Market Rate
</t>
    </r>
  </si>
  <si>
    <t>23                     16-500</t>
  </si>
  <si>
    <t xml:space="preserve">Detail </t>
  </si>
  <si>
    <t>Dumping work of Hard rock/ stone/ boulders/C.C blocks/brick blocks/sand cement blocks over a uniform area from properly positioned by engine boat upto an accuracy of 10cm monitoring with Total Station. The dumping area to be determined by conducting bathymetric survey, furnishing topographic site plan, cross section, dumping alignment, providing location of benchmark and stake at batches of dumping activity, doing by a river survey team ( including survey manager, hydrographic surveyor, Auto cad operator, etc.) with total station. Sequential stacking of Hard rock/ stone/ boulders/C.C blocks/brick blocks/sand cement blocks on the engine boat, carrying the Hard rock/ stone/ boulders/C.C blocks/brick blocks/sand cement blocks to dumping area and dumping the block from the boat by manual labour or any other means, all materials &amp; charges etc.
complete as per direction of engineer in charge, specification and
design.</t>
  </si>
  <si>
    <t>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t>
  </si>
  <si>
    <t>Erection and maintenance of site office and removal of the same after completion of work as per approved plans &amp; drawings for the use of the Engineer-in-charge &amp; his staff, Task force and field laboratory with adequate foundation, brick walls, acceptable outside &amp; inside wall surface, concrete floor with floor tiles, false ceiling of gypsum board, windows are to be glazed &amp; provided with steel grill &amp; screen/blinds, doors with approved locks, furniture &amp; fittings of approved quality, equipment &amp; plant of approved quality, electricity, running water, sewerage, security fencing, 5 KVA stand-bye generator, IBM compatible PC with monitor, uninterruptible power supply (UPS), LaserJet printer (minimum 25 ppm), first aid-box, safety helmet, level/theodolite/EDM, consumables, stationeries, day &amp; night guards &amp; a tea boy and site office shall be ready for occupation by the Engineer-in-charge within 28 days of commencement of work, etc. complete as per direction of Engineer-in-charge. 
(This is a time related item; proportionate payment for this item shall
be made distributing in each bill on the basis of percentage progress of
the whole works under contract)</t>
  </si>
  <si>
    <t>River Morphological Data Collection/ Bathymetric Survey and river bank topography survey for river/ khal section (section width  251 m to 350 m), including cost of all necessary equipments (Level Machine, Hand GPS, DGPS etc), Necessary personnels (River Morphology Expert for data cosistency checking, Engineer/ Survey Specialist for data processing with survey software and Prepare necessary Table, Graph and Morphologhical parameters calculations, Surveyor &amp; Unskilled Labour for field data collection), Accomodation, Transportation from Headquarter to Site and Site movement and Shaded for Bathymetric Survey for field survey team including necessary fuels and lubricant, Other necessary auxiliary items such as survey flags, pegs with provision of submission of report in hard binded copies (at least 6 copies required), soft copies and raw survet data with provision of 10% random re-survey for data consistency checking as per direcion of Engineer in charge.</t>
  </si>
  <si>
    <t>Abstract cost of Protective work along the Right Bank of Panguchi River from km 0.000 to km 1.000 ; Total = 1000m at Fulhata Bazar &amp; from km 2.100 to km 3.600 ; Total = 1500m at Sinnikhali ,  Upazila - Morrelganj, District- Bagerhat under Bagerhat O&amp;M Division, BWDB, Bagerhat.</t>
  </si>
  <si>
    <t>Ch. 2.100 to Ch.3.600= 1500m at Sinnikhali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</si>
</sst>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000"/>
  </numFmts>
  <fonts count="33" x14ac:knownFonts="1">
    <font>
      <sz val="11"/>
      <color theme="1"/>
      <name val="Calibri"/>
      <family val="2"/>
      <scheme val="minor"/>
    </font>
    <font>
      <sz val="10"/>
      <name val="Times New Roman"/>
      <family val="1"/>
    </font>
    <font>
      <b/>
      <sz val="11"/>
      <color theme="1"/>
      <name val="Times New Roman"/>
      <family val="1"/>
    </font>
    <font>
      <sz val="11"/>
      <color theme="1"/>
      <name val="Times New Roman"/>
      <family val="1"/>
    </font>
    <font>
      <u/>
      <sz val="11"/>
      <color theme="1"/>
      <name val="Times New Roman"/>
      <family val="1"/>
    </font>
    <font>
      <b/>
      <sz val="8"/>
      <color indexed="8"/>
      <name val="Times New Roman"/>
      <family val="1"/>
    </font>
    <font>
      <b/>
      <sz val="9"/>
      <color indexed="8"/>
      <name val="Times New Roman"/>
      <family val="1"/>
    </font>
    <font>
      <b/>
      <sz val="10"/>
      <color indexed="8"/>
      <name val="Times New Roman"/>
      <family val="1"/>
    </font>
    <font>
      <sz val="9"/>
      <color indexed="8"/>
      <name val="Times New Roman"/>
      <family val="1"/>
    </font>
    <font>
      <sz val="9"/>
      <name val="Times New Roman"/>
      <family val="1"/>
    </font>
    <font>
      <b/>
      <sz val="9"/>
      <name val="Arial"/>
      <family val="2"/>
    </font>
    <font>
      <b/>
      <sz val="10"/>
      <name val="Times New Roman"/>
      <family val="1"/>
    </font>
    <font>
      <sz val="9"/>
      <name val="Arial"/>
      <family val="2"/>
    </font>
    <font>
      <b/>
      <sz val="11"/>
      <name val="Times New Roman"/>
      <family val="1"/>
    </font>
    <font>
      <sz val="9"/>
      <color rgb="FFFF0000"/>
      <name val="Times New Roman"/>
      <family val="1"/>
    </font>
    <font>
      <sz val="9"/>
      <color rgb="FFFF0000"/>
      <name val="Arial"/>
      <family val="2"/>
    </font>
    <font>
      <u/>
      <sz val="9"/>
      <name val="Arial"/>
      <family val="2"/>
    </font>
    <font>
      <u/>
      <sz val="9"/>
      <color rgb="FFFF0000"/>
      <name val="Arial"/>
      <family val="2"/>
    </font>
    <font>
      <sz val="9"/>
      <color rgb="FFC00000"/>
      <name val="Arial"/>
      <family val="2"/>
    </font>
    <font>
      <u/>
      <sz val="9"/>
      <color rgb="FFC00000"/>
      <name val="Arial"/>
      <family val="2"/>
    </font>
    <font>
      <sz val="9"/>
      <color rgb="FFC00000"/>
      <name val="Times New Roman"/>
      <family val="1"/>
    </font>
    <font>
      <sz val="8"/>
      <name val="Times New Roman"/>
      <family val="1"/>
    </font>
    <font>
      <sz val="8"/>
      <color indexed="8"/>
      <name val="Times New Roman"/>
      <family val="1"/>
    </font>
    <font>
      <u/>
      <sz val="9"/>
      <name val="Times New Roman"/>
      <family val="1"/>
    </font>
    <font>
      <sz val="11"/>
      <color rgb="FFFF0000"/>
      <name val="Times New Roman"/>
      <family val="1"/>
    </font>
    <font>
      <sz val="10"/>
      <color theme="1"/>
      <name val="Times New Roman"/>
      <family val="1"/>
    </font>
    <font>
      <b/>
      <sz val="9"/>
      <color rgb="FFFF0000"/>
      <name val="Times New Roman"/>
      <family val="1"/>
    </font>
    <font>
      <sz val="9"/>
      <color theme="1"/>
      <name val="Times New Roman"/>
      <family val="1"/>
    </font>
    <font>
      <sz val="11"/>
      <name val="Times New Roman"/>
      <family val="1"/>
    </font>
    <font>
      <sz val="8"/>
      <color theme="1"/>
      <name val="Times New Roman"/>
      <family val="1"/>
    </font>
    <font>
      <u/>
      <sz val="10"/>
      <name val="Times New Roman"/>
      <family val="1"/>
    </font>
    <font>
      <sz val="10"/>
      <color indexed="8"/>
      <name val="Times New Roman"/>
      <family val="1"/>
    </font>
    <font>
      <sz val="10"/>
      <color rgb="FFFF0000"/>
      <name val="Times New Roman"/>
      <family val="1"/>
    </font>
  </fonts>
  <fills count="3">
    <fill>
      <patternFill patternType="none"/>
    </fill>
    <fill>
      <patternFill patternType="gray125"/>
    </fill>
    <fill>
      <patternFill patternType="solid">
        <fgColor indexed="22"/>
        <bgColor indexed="64"/>
      </patternFill>
    </fill>
  </fills>
  <borders count="1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406">
    <xf numFmtId="0" fontId="0" fillId="0" borderId="0" xfId="0"/>
    <xf numFmtId="0" fontId="1" fillId="0" borderId="0" xfId="0" applyFont="1" applyAlignment="1">
      <alignment horizontal="center" vertical="top" wrapText="1"/>
    </xf>
    <xf numFmtId="0" fontId="3" fillId="0" borderId="0" xfId="0" applyFont="1"/>
    <xf numFmtId="0" fontId="2" fillId="0" borderId="0" xfId="0" applyFont="1" applyAlignment="1">
      <alignment horizontal="center"/>
    </xf>
    <xf numFmtId="2" fontId="3" fillId="0" borderId="0" xfId="0" applyNumberFormat="1" applyFont="1"/>
    <xf numFmtId="2" fontId="2" fillId="0" borderId="0" xfId="0" applyNumberFormat="1" applyFont="1"/>
    <xf numFmtId="0" fontId="4" fillId="0" borderId="0" xfId="0" applyFont="1"/>
    <xf numFmtId="0" fontId="3" fillId="0" borderId="1" xfId="0" applyFont="1" applyBorder="1"/>
    <xf numFmtId="0" fontId="5" fillId="0" borderId="0" xfId="0" applyFont="1" applyBorder="1" applyAlignment="1">
      <alignment horizontal="right" vertical="top" wrapText="1"/>
    </xf>
    <xf numFmtId="2" fontId="6" fillId="0" borderId="0" xfId="0" applyNumberFormat="1" applyFont="1" applyBorder="1" applyAlignment="1">
      <alignment horizontal="center" vertical="top" wrapText="1"/>
    </xf>
    <xf numFmtId="0" fontId="3" fillId="0" borderId="0" xfId="0" applyFont="1" applyBorder="1" applyAlignment="1">
      <alignment vertical="top" wrapText="1"/>
    </xf>
    <xf numFmtId="0" fontId="3" fillId="0" borderId="0" xfId="0" applyFont="1" applyAlignment="1">
      <alignment vertical="top" wrapText="1"/>
    </xf>
    <xf numFmtId="0" fontId="8" fillId="0" borderId="8" xfId="0" applyFont="1" applyBorder="1" applyAlignment="1">
      <alignment horizontal="center" vertical="top" wrapText="1"/>
    </xf>
    <xf numFmtId="164" fontId="2" fillId="0" borderId="0" xfId="0" applyNumberFormat="1" applyFont="1" applyAlignment="1">
      <alignment horizontal="center"/>
    </xf>
    <xf numFmtId="0" fontId="9" fillId="0" borderId="2" xfId="0" applyFont="1" applyBorder="1" applyAlignment="1">
      <alignment horizontal="justify" vertical="top" wrapText="1"/>
    </xf>
    <xf numFmtId="0" fontId="7" fillId="0" borderId="3" xfId="0" applyFont="1" applyBorder="1" applyAlignment="1">
      <alignment horizontal="center" vertical="top" wrapText="1"/>
    </xf>
    <xf numFmtId="2" fontId="8" fillId="0" borderId="10" xfId="0" applyNumberFormat="1" applyFont="1" applyBorder="1" applyAlignment="1">
      <alignment horizontal="right" vertical="top" wrapText="1"/>
    </xf>
    <xf numFmtId="0" fontId="8" fillId="0" borderId="1" xfId="0" applyFont="1" applyBorder="1" applyAlignment="1">
      <alignment horizontal="left" vertical="top" wrapText="1"/>
    </xf>
    <xf numFmtId="0" fontId="8" fillId="0" borderId="8" xfId="0" applyFont="1" applyBorder="1" applyAlignment="1">
      <alignment vertical="top" wrapText="1"/>
    </xf>
    <xf numFmtId="0" fontId="8" fillId="0" borderId="14" xfId="0" applyFont="1" applyBorder="1" applyAlignment="1">
      <alignment horizontal="left" vertical="top" wrapText="1"/>
    </xf>
    <xf numFmtId="2" fontId="8" fillId="0" borderId="13" xfId="0" applyNumberFormat="1" applyFont="1" applyBorder="1" applyAlignment="1">
      <alignment horizontal="right" vertical="top" wrapText="1"/>
    </xf>
    <xf numFmtId="0" fontId="10" fillId="0" borderId="2" xfId="0" applyFont="1" applyBorder="1" applyAlignment="1">
      <alignment horizontal="center" vertical="center" wrapText="1"/>
    </xf>
    <xf numFmtId="164" fontId="10" fillId="0" borderId="2" xfId="0" applyNumberFormat="1" applyFont="1" applyBorder="1" applyAlignment="1">
      <alignment horizontal="center" vertical="center" wrapText="1"/>
    </xf>
    <xf numFmtId="0" fontId="10" fillId="2" borderId="2" xfId="0" applyFont="1" applyFill="1" applyBorder="1" applyAlignment="1">
      <alignment horizontal="center" vertical="center" wrapText="1"/>
    </xf>
    <xf numFmtId="1" fontId="10" fillId="2" borderId="2" xfId="0" applyNumberFormat="1" applyFont="1" applyFill="1" applyBorder="1" applyAlignment="1">
      <alignment horizontal="center" vertical="center" wrapText="1"/>
    </xf>
    <xf numFmtId="0" fontId="10" fillId="2" borderId="2" xfId="0" applyFont="1" applyFill="1" applyBorder="1" applyAlignment="1">
      <alignment horizontal="center" wrapText="1"/>
    </xf>
    <xf numFmtId="0" fontId="12" fillId="0" borderId="2" xfId="0" applyFont="1" applyBorder="1" applyAlignment="1">
      <alignment horizontal="center" vertical="top" wrapText="1"/>
    </xf>
    <xf numFmtId="2" fontId="12" fillId="0" borderId="2" xfId="0" applyNumberFormat="1" applyFont="1" applyBorder="1" applyAlignment="1">
      <alignment horizontal="center" wrapText="1"/>
    </xf>
    <xf numFmtId="0" fontId="0" fillId="0" borderId="0" xfId="0" applyAlignment="1">
      <alignment horizontal="center" vertical="top"/>
    </xf>
    <xf numFmtId="0" fontId="0" fillId="0" borderId="0" xfId="0" applyAlignment="1">
      <alignment horizontal="justify" vertical="top" wrapText="1"/>
    </xf>
    <xf numFmtId="164" fontId="0" fillId="0" borderId="0" xfId="0" applyNumberFormat="1" applyAlignment="1">
      <alignment vertical="top"/>
    </xf>
    <xf numFmtId="0" fontId="0" fillId="0" borderId="0" xfId="0" applyAlignment="1">
      <alignment horizontal="center"/>
    </xf>
    <xf numFmtId="0" fontId="0" fillId="0" borderId="0" xfId="0" applyAlignment="1">
      <alignment vertical="top"/>
    </xf>
    <xf numFmtId="2" fontId="9" fillId="0" borderId="0" xfId="0" applyNumberFormat="1" applyFont="1" applyBorder="1" applyAlignment="1">
      <alignment vertical="top" wrapText="1"/>
    </xf>
    <xf numFmtId="2" fontId="8" fillId="0" borderId="0" xfId="0" applyNumberFormat="1" applyFont="1" applyBorder="1" applyAlignment="1">
      <alignment vertical="top" wrapText="1"/>
    </xf>
    <xf numFmtId="2" fontId="9" fillId="0" borderId="14" xfId="0" applyNumberFormat="1" applyFont="1" applyBorder="1" applyAlignment="1">
      <alignment vertical="top" wrapText="1"/>
    </xf>
    <xf numFmtId="2" fontId="8" fillId="0" borderId="9" xfId="0" applyNumberFormat="1" applyFont="1" applyBorder="1" applyAlignment="1">
      <alignment vertical="top" wrapText="1"/>
    </xf>
    <xf numFmtId="2" fontId="8" fillId="0" borderId="9" xfId="0" applyNumberFormat="1" applyFont="1" applyBorder="1" applyAlignment="1">
      <alignment horizontal="right" vertical="top" wrapText="1"/>
    </xf>
    <xf numFmtId="164" fontId="3" fillId="0" borderId="2" xfId="0" applyNumberFormat="1" applyFont="1" applyBorder="1" applyAlignment="1">
      <alignment horizontal="center" vertical="top"/>
    </xf>
    <xf numFmtId="164" fontId="12" fillId="0" borderId="2" xfId="0" applyNumberFormat="1" applyFont="1" applyBorder="1" applyAlignment="1">
      <alignment horizontal="center"/>
    </xf>
    <xf numFmtId="0" fontId="15" fillId="0" borderId="2" xfId="0" applyFont="1" applyBorder="1" applyAlignment="1">
      <alignment horizontal="center" vertical="top" wrapText="1"/>
    </xf>
    <xf numFmtId="0" fontId="14" fillId="0" borderId="2" xfId="0" applyFont="1" applyBorder="1" applyAlignment="1">
      <alignment horizontal="justify" vertical="top" wrapText="1"/>
    </xf>
    <xf numFmtId="2" fontId="15" fillId="0" borderId="2" xfId="0" applyNumberFormat="1" applyFont="1" applyBorder="1" applyAlignment="1">
      <alignment horizontal="center" wrapText="1"/>
    </xf>
    <xf numFmtId="164" fontId="15" fillId="0" borderId="2" xfId="0" applyNumberFormat="1" applyFont="1" applyBorder="1" applyAlignment="1">
      <alignment horizontal="center"/>
    </xf>
    <xf numFmtId="0" fontId="9" fillId="0" borderId="14" xfId="0" applyFont="1" applyBorder="1" applyAlignment="1">
      <alignment horizontal="left" vertical="top" wrapText="1"/>
    </xf>
    <xf numFmtId="0" fontId="18" fillId="0" borderId="2" xfId="0" applyFont="1" applyBorder="1" applyAlignment="1">
      <alignment horizontal="center" vertical="top" wrapText="1"/>
    </xf>
    <xf numFmtId="0" fontId="20" fillId="0" borderId="2" xfId="0" applyFont="1" applyBorder="1" applyAlignment="1">
      <alignment horizontal="justify" vertical="top" wrapText="1"/>
    </xf>
    <xf numFmtId="2" fontId="18" fillId="0" borderId="2" xfId="0" applyNumberFormat="1" applyFont="1" applyBorder="1" applyAlignment="1">
      <alignment horizontal="center" wrapText="1"/>
    </xf>
    <xf numFmtId="164" fontId="18" fillId="0" borderId="2" xfId="0" applyNumberFormat="1" applyFont="1" applyBorder="1" applyAlignment="1">
      <alignment horizontal="center"/>
    </xf>
    <xf numFmtId="0" fontId="20" fillId="0" borderId="9" xfId="0" applyFont="1" applyBorder="1" applyAlignment="1">
      <alignment horizontal="center" vertical="top" wrapText="1"/>
    </xf>
    <xf numFmtId="1" fontId="12" fillId="0" borderId="2" xfId="0" applyNumberFormat="1" applyFont="1" applyBorder="1" applyAlignment="1">
      <alignment horizontal="center" wrapText="1"/>
    </xf>
    <xf numFmtId="0" fontId="18" fillId="0" borderId="3" xfId="0" applyFont="1" applyBorder="1" applyAlignment="1">
      <alignment horizontal="center" vertical="top" wrapText="1"/>
    </xf>
    <xf numFmtId="0" fontId="20" fillId="0" borderId="3" xfId="0" applyFont="1" applyBorder="1" applyAlignment="1">
      <alignment horizontal="justify" vertical="top" wrapText="1"/>
    </xf>
    <xf numFmtId="0" fontId="14" fillId="0" borderId="7" xfId="0" applyFont="1" applyBorder="1" applyAlignment="1">
      <alignment horizontal="center" vertical="top" wrapText="1"/>
    </xf>
    <xf numFmtId="0" fontId="2" fillId="0" borderId="0" xfId="0" applyFont="1" applyAlignment="1">
      <alignment horizontal="center"/>
    </xf>
    <xf numFmtId="2" fontId="8" fillId="0" borderId="13" xfId="0" applyNumberFormat="1" applyFont="1" applyBorder="1" applyAlignment="1">
      <alignment vertical="top" wrapText="1"/>
    </xf>
    <xf numFmtId="2" fontId="8" fillId="0" borderId="10" xfId="0" applyNumberFormat="1" applyFont="1" applyBorder="1" applyAlignment="1">
      <alignment vertical="top" wrapText="1"/>
    </xf>
    <xf numFmtId="2" fontId="9" fillId="0" borderId="13" xfId="0" applyNumberFormat="1" applyFont="1" applyBorder="1" applyAlignment="1">
      <alignment vertical="top" wrapText="1"/>
    </xf>
    <xf numFmtId="2" fontId="9" fillId="0" borderId="9" xfId="0" applyNumberFormat="1" applyFont="1" applyBorder="1" applyAlignment="1">
      <alignment vertical="top" wrapText="1"/>
    </xf>
    <xf numFmtId="0" fontId="9" fillId="0" borderId="0" xfId="0" applyFont="1" applyBorder="1" applyAlignment="1">
      <alignment horizontal="right" vertical="top" wrapText="1"/>
    </xf>
    <xf numFmtId="164" fontId="9" fillId="0" borderId="0" xfId="0" applyNumberFormat="1" applyFont="1" applyBorder="1" applyAlignment="1">
      <alignment horizontal="left" vertical="top" wrapText="1"/>
    </xf>
    <xf numFmtId="0" fontId="9" fillId="0" borderId="1" xfId="0" applyFont="1" applyBorder="1" applyAlignment="1">
      <alignment horizontal="left" vertical="top" wrapText="1"/>
    </xf>
    <xf numFmtId="0" fontId="12" fillId="0" borderId="2" xfId="0" applyFont="1" applyBorder="1" applyAlignment="1">
      <alignment horizontal="center" vertical="center" wrapText="1"/>
    </xf>
    <xf numFmtId="0" fontId="9" fillId="0" borderId="2" xfId="0" applyFont="1" applyBorder="1" applyAlignment="1">
      <alignment horizontal="justify" vertical="center" wrapText="1"/>
    </xf>
    <xf numFmtId="1" fontId="15" fillId="0" borderId="2" xfId="0" applyNumberFormat="1" applyFont="1" applyBorder="1" applyAlignment="1">
      <alignment horizontal="center" vertical="center" wrapText="1"/>
    </xf>
    <xf numFmtId="2" fontId="12" fillId="0" borderId="2" xfId="0" applyNumberFormat="1" applyFont="1" applyBorder="1" applyAlignment="1">
      <alignment horizontal="center" vertical="center" wrapText="1"/>
    </xf>
    <xf numFmtId="164" fontId="12" fillId="0" borderId="2" xfId="0" applyNumberFormat="1" applyFont="1" applyBorder="1" applyAlignment="1">
      <alignment horizontal="center" vertical="center"/>
    </xf>
    <xf numFmtId="0" fontId="9" fillId="0" borderId="8" xfId="0" applyFont="1" applyBorder="1" applyAlignment="1">
      <alignment vertical="top" wrapText="1"/>
    </xf>
    <xf numFmtId="0" fontId="8" fillId="0" borderId="9" xfId="0" applyFont="1" applyBorder="1" applyAlignment="1">
      <alignment vertical="top" wrapText="1"/>
    </xf>
    <xf numFmtId="0" fontId="20" fillId="0" borderId="0" xfId="0" applyFont="1" applyBorder="1" applyAlignment="1">
      <alignment horizontal="left" vertical="top" wrapText="1"/>
    </xf>
    <xf numFmtId="0" fontId="8" fillId="0" borderId="6" xfId="0" applyFont="1" applyBorder="1" applyAlignment="1">
      <alignment vertical="top" wrapText="1"/>
    </xf>
    <xf numFmtId="0" fontId="8" fillId="0" borderId="7" xfId="0" applyFont="1" applyBorder="1" applyAlignment="1">
      <alignment horizontal="center" vertical="top" wrapText="1"/>
    </xf>
    <xf numFmtId="0" fontId="8" fillId="0" borderId="13" xfId="0" applyFont="1" applyBorder="1" applyAlignment="1">
      <alignment vertical="top" wrapText="1"/>
    </xf>
    <xf numFmtId="1" fontId="20" fillId="0" borderId="9" xfId="0" applyNumberFormat="1" applyFont="1" applyBorder="1" applyAlignment="1">
      <alignment vertical="top" wrapText="1"/>
    </xf>
    <xf numFmtId="1" fontId="20" fillId="0" borderId="13" xfId="0" applyNumberFormat="1" applyFont="1" applyBorder="1" applyAlignment="1">
      <alignment vertical="top" wrapText="1"/>
    </xf>
    <xf numFmtId="1" fontId="8" fillId="0" borderId="9" xfId="0" applyNumberFormat="1" applyFont="1" applyBorder="1" applyAlignment="1">
      <alignment horizontal="right" vertical="top" wrapText="1"/>
    </xf>
    <xf numFmtId="2" fontId="9" fillId="0" borderId="15" xfId="0" applyNumberFormat="1" applyFont="1" applyBorder="1" applyAlignment="1">
      <alignment vertical="top" wrapText="1"/>
    </xf>
    <xf numFmtId="0" fontId="21" fillId="0" borderId="14" xfId="0" applyFont="1" applyBorder="1" applyAlignment="1">
      <alignment horizontal="left" vertical="top" wrapText="1"/>
    </xf>
    <xf numFmtId="164" fontId="15" fillId="0" borderId="2" xfId="0" applyNumberFormat="1" applyFont="1" applyBorder="1" applyAlignment="1">
      <alignment horizontal="center" vertical="center" wrapText="1"/>
    </xf>
    <xf numFmtId="0" fontId="14" fillId="0" borderId="6" xfId="0" applyFont="1" applyBorder="1" applyAlignment="1">
      <alignment horizontal="center" vertical="top" wrapText="1"/>
    </xf>
    <xf numFmtId="0" fontId="9" fillId="0" borderId="9" xfId="0" applyFont="1" applyBorder="1" applyAlignment="1">
      <alignment vertical="top" wrapText="1"/>
    </xf>
    <xf numFmtId="0" fontId="14" fillId="0" borderId="9" xfId="0" applyFont="1" applyBorder="1" applyAlignment="1">
      <alignment vertical="top" wrapText="1"/>
    </xf>
    <xf numFmtId="0" fontId="14" fillId="0" borderId="10" xfId="0" applyFont="1" applyBorder="1" applyAlignment="1">
      <alignment vertical="top" wrapText="1"/>
    </xf>
    <xf numFmtId="0" fontId="9" fillId="0" borderId="0" xfId="0" applyFont="1" applyBorder="1" applyAlignment="1">
      <alignment horizontal="center" vertical="center" wrapText="1"/>
    </xf>
    <xf numFmtId="2" fontId="1" fillId="0" borderId="0" xfId="0" applyNumberFormat="1" applyFont="1" applyBorder="1" applyAlignment="1">
      <alignment vertical="top" wrapText="1"/>
    </xf>
    <xf numFmtId="1" fontId="1" fillId="0" borderId="0" xfId="0" applyNumberFormat="1" applyFont="1" applyBorder="1" applyAlignment="1">
      <alignment horizontal="center" vertical="top" wrapText="1"/>
    </xf>
    <xf numFmtId="1" fontId="9" fillId="0" borderId="0" xfId="0" applyNumberFormat="1" applyFont="1" applyBorder="1" applyAlignment="1">
      <alignment vertical="center" wrapText="1"/>
    </xf>
    <xf numFmtId="0" fontId="9" fillId="0" borderId="0" xfId="0" applyFont="1" applyBorder="1" applyAlignment="1">
      <alignment vertical="center" wrapText="1"/>
    </xf>
    <xf numFmtId="164" fontId="9" fillId="0" borderId="0" xfId="0" applyNumberFormat="1" applyFont="1" applyBorder="1" applyAlignment="1">
      <alignment vertical="top" wrapText="1"/>
    </xf>
    <xf numFmtId="0" fontId="9" fillId="0" borderId="0" xfId="0" applyFont="1" applyBorder="1" applyAlignment="1">
      <alignment horizontal="center" vertical="top" wrapText="1"/>
    </xf>
    <xf numFmtId="1" fontId="9" fillId="0" borderId="0" xfId="0" applyNumberFormat="1" applyFont="1" applyBorder="1" applyAlignment="1">
      <alignment horizontal="left" vertical="top" wrapText="1"/>
    </xf>
    <xf numFmtId="0" fontId="21" fillId="0" borderId="0" xfId="0" applyFont="1" applyBorder="1" applyAlignment="1">
      <alignment horizontal="left" vertical="top" wrapText="1"/>
    </xf>
    <xf numFmtId="164" fontId="20" fillId="0" borderId="0" xfId="0" applyNumberFormat="1" applyFont="1" applyBorder="1" applyAlignment="1">
      <alignment vertical="top" wrapText="1"/>
    </xf>
    <xf numFmtId="164" fontId="20" fillId="0" borderId="14" xfId="0" applyNumberFormat="1" applyFont="1" applyBorder="1" applyAlignment="1">
      <alignment horizontal="left" vertical="top" wrapText="1"/>
    </xf>
    <xf numFmtId="1" fontId="20" fillId="0" borderId="14" xfId="0" applyNumberFormat="1" applyFont="1" applyBorder="1" applyAlignment="1">
      <alignment vertical="top" wrapText="1"/>
    </xf>
    <xf numFmtId="0" fontId="9" fillId="0" borderId="0" xfId="0" applyFont="1" applyBorder="1" applyAlignment="1">
      <alignment horizontal="left" vertical="center" wrapText="1"/>
    </xf>
    <xf numFmtId="0" fontId="22" fillId="0" borderId="0" xfId="0" applyFont="1" applyBorder="1" applyAlignment="1">
      <alignment horizontal="left" vertical="top" wrapText="1"/>
    </xf>
    <xf numFmtId="0" fontId="20" fillId="0" borderId="13" xfId="0" applyFont="1" applyBorder="1" applyAlignment="1">
      <alignment horizontal="center" vertical="top" wrapText="1"/>
    </xf>
    <xf numFmtId="164" fontId="9" fillId="0" borderId="9" xfId="0" applyNumberFormat="1" applyFont="1" applyBorder="1" applyAlignment="1">
      <alignment vertical="top" wrapText="1"/>
    </xf>
    <xf numFmtId="1" fontId="8" fillId="0" borderId="9" xfId="0" applyNumberFormat="1" applyFont="1" applyBorder="1" applyAlignment="1">
      <alignment vertical="top" wrapText="1"/>
    </xf>
    <xf numFmtId="164" fontId="12" fillId="0" borderId="2" xfId="0" applyNumberFormat="1" applyFont="1" applyBorder="1" applyAlignment="1">
      <alignment horizontal="center" vertical="center" wrapText="1"/>
    </xf>
    <xf numFmtId="0" fontId="8" fillId="0" borderId="9" xfId="0" applyFont="1" applyBorder="1" applyAlignment="1">
      <alignment horizontal="left" vertical="top" wrapText="1"/>
    </xf>
    <xf numFmtId="0" fontId="9" fillId="0" borderId="9" xfId="0" applyFont="1" applyBorder="1" applyAlignment="1">
      <alignment horizontal="justify"/>
    </xf>
    <xf numFmtId="0" fontId="14" fillId="0" borderId="0" xfId="0" applyFont="1" applyBorder="1" applyAlignment="1">
      <alignment horizontal="left" vertical="top" wrapText="1"/>
    </xf>
    <xf numFmtId="2" fontId="14" fillId="0" borderId="0" xfId="0" applyNumberFormat="1" applyFont="1" applyBorder="1" applyAlignment="1">
      <alignment horizontal="left" vertical="top" wrapText="1"/>
    </xf>
    <xf numFmtId="0" fontId="14" fillId="0" borderId="0" xfId="0" applyFont="1" applyBorder="1" applyAlignment="1">
      <alignment horizontal="left" vertical="center" wrapText="1"/>
    </xf>
    <xf numFmtId="2" fontId="14" fillId="0" borderId="13" xfId="0" applyNumberFormat="1" applyFont="1" applyBorder="1" applyAlignment="1">
      <alignment horizontal="center" vertical="center" wrapText="1"/>
    </xf>
    <xf numFmtId="2" fontId="14" fillId="0" borderId="14" xfId="0" applyNumberFormat="1" applyFont="1" applyBorder="1" applyAlignment="1">
      <alignment horizontal="center" vertical="center" wrapText="1"/>
    </xf>
    <xf numFmtId="0" fontId="14" fillId="0" borderId="14" xfId="0" applyFont="1" applyBorder="1" applyAlignment="1">
      <alignment horizontal="center" vertical="center" wrapText="1"/>
    </xf>
    <xf numFmtId="2" fontId="9" fillId="0" borderId="12" xfId="0" applyNumberFormat="1" applyFont="1" applyBorder="1" applyAlignment="1">
      <alignment vertical="top" wrapText="1"/>
    </xf>
    <xf numFmtId="2" fontId="8" fillId="0" borderId="12" xfId="0" applyNumberFormat="1" applyFont="1" applyBorder="1" applyAlignment="1">
      <alignment horizontal="center" vertical="top" wrapText="1"/>
    </xf>
    <xf numFmtId="2" fontId="8" fillId="0" borderId="1" xfId="0" applyNumberFormat="1" applyFont="1" applyBorder="1" applyAlignment="1">
      <alignment vertical="top" wrapText="1"/>
    </xf>
    <xf numFmtId="164" fontId="8" fillId="0" borderId="0" xfId="0" applyNumberFormat="1" applyFont="1" applyBorder="1" applyAlignment="1">
      <alignment vertical="top" wrapText="1"/>
    </xf>
    <xf numFmtId="164" fontId="8" fillId="0" borderId="1" xfId="0" applyNumberFormat="1" applyFont="1" applyBorder="1" applyAlignment="1">
      <alignment vertical="top" wrapText="1"/>
    </xf>
    <xf numFmtId="2" fontId="24" fillId="0" borderId="0" xfId="0" applyNumberFormat="1" applyFont="1"/>
    <xf numFmtId="1" fontId="12" fillId="0" borderId="2" xfId="0" applyNumberFormat="1" applyFont="1" applyBorder="1" applyAlignment="1">
      <alignment horizontal="center" vertical="center" wrapText="1"/>
    </xf>
    <xf numFmtId="1" fontId="8" fillId="0" borderId="1" xfId="0" applyNumberFormat="1" applyFont="1" applyBorder="1" applyAlignment="1">
      <alignment vertical="top" wrapText="1"/>
    </xf>
    <xf numFmtId="2" fontId="8" fillId="0" borderId="14" xfId="0" applyNumberFormat="1" applyFont="1" applyBorder="1" applyAlignment="1">
      <alignment vertical="top" wrapText="1"/>
    </xf>
    <xf numFmtId="0" fontId="8" fillId="0" borderId="1" xfId="0" applyFont="1" applyBorder="1" applyAlignment="1">
      <alignment horizontal="center" vertical="top" wrapText="1"/>
    </xf>
    <xf numFmtId="0" fontId="12" fillId="0" borderId="3" xfId="0" applyFont="1" applyBorder="1" applyAlignment="1">
      <alignment horizontal="center" vertical="top" wrapText="1"/>
    </xf>
    <xf numFmtId="0" fontId="9" fillId="0" borderId="3" xfId="0" applyFont="1" applyBorder="1" applyAlignment="1">
      <alignment horizontal="justify" vertical="top" wrapText="1"/>
    </xf>
    <xf numFmtId="0" fontId="20" fillId="0" borderId="8" xfId="0" applyFont="1" applyBorder="1" applyAlignment="1">
      <alignment vertical="top" wrapText="1"/>
    </xf>
    <xf numFmtId="0" fontId="20" fillId="0" borderId="6" xfId="0" applyFont="1" applyBorder="1" applyAlignment="1">
      <alignment vertical="top" wrapText="1"/>
    </xf>
    <xf numFmtId="0" fontId="20" fillId="0" borderId="9" xfId="0" applyFont="1" applyBorder="1" applyAlignment="1">
      <alignment vertical="top" wrapText="1"/>
    </xf>
    <xf numFmtId="0" fontId="20" fillId="0" borderId="10" xfId="0" applyFont="1" applyBorder="1" applyAlignment="1">
      <alignment vertical="top" wrapText="1"/>
    </xf>
    <xf numFmtId="0" fontId="8" fillId="0" borderId="0" xfId="0" applyFont="1" applyBorder="1" applyAlignment="1">
      <alignment horizontal="center" vertical="center" wrapText="1"/>
    </xf>
    <xf numFmtId="2" fontId="8" fillId="0" borderId="0" xfId="0" applyNumberFormat="1" applyFont="1" applyBorder="1" applyAlignment="1">
      <alignment horizontal="left" vertical="center" wrapText="1"/>
    </xf>
    <xf numFmtId="2" fontId="8" fillId="0" borderId="0" xfId="0" applyNumberFormat="1" applyFont="1" applyBorder="1" applyAlignment="1">
      <alignment vertical="center" wrapText="1"/>
    </xf>
    <xf numFmtId="2" fontId="8" fillId="0" borderId="15" xfId="0" applyNumberFormat="1" applyFont="1" applyBorder="1" applyAlignment="1">
      <alignment horizontal="center" vertical="top" wrapText="1"/>
    </xf>
    <xf numFmtId="2" fontId="8" fillId="0" borderId="12" xfId="0" applyNumberFormat="1" applyFont="1" applyBorder="1" applyAlignment="1">
      <alignment vertical="top" wrapText="1"/>
    </xf>
    <xf numFmtId="165" fontId="14" fillId="0" borderId="9" xfId="0" applyNumberFormat="1" applyFont="1" applyBorder="1" applyAlignment="1">
      <alignment vertical="top" wrapText="1"/>
    </xf>
    <xf numFmtId="0" fontId="12" fillId="0" borderId="3" xfId="0" applyFont="1" applyBorder="1" applyAlignment="1">
      <alignment horizontal="center" vertical="center" wrapText="1"/>
    </xf>
    <xf numFmtId="0" fontId="8" fillId="0" borderId="7" xfId="0" applyFont="1" applyBorder="1" applyAlignment="1">
      <alignment vertical="top" wrapText="1"/>
    </xf>
    <xf numFmtId="2" fontId="9" fillId="0" borderId="10" xfId="0" applyNumberFormat="1" applyFont="1" applyBorder="1" applyAlignment="1">
      <alignment horizontal="right" vertical="top" wrapText="1"/>
    </xf>
    <xf numFmtId="2" fontId="9" fillId="0" borderId="1" xfId="0" applyNumberFormat="1" applyFont="1" applyBorder="1" applyAlignment="1">
      <alignment horizontal="left" vertical="top" wrapText="1"/>
    </xf>
    <xf numFmtId="2" fontId="9" fillId="0" borderId="10" xfId="0" applyNumberFormat="1" applyFont="1" applyBorder="1" applyAlignment="1">
      <alignment vertical="top" wrapText="1"/>
    </xf>
    <xf numFmtId="1" fontId="9" fillId="0" borderId="9" xfId="0" applyNumberFormat="1" applyFont="1" applyBorder="1" applyAlignment="1">
      <alignment vertical="top" wrapText="1"/>
    </xf>
    <xf numFmtId="0" fontId="14" fillId="0" borderId="9" xfId="0" applyFont="1" applyBorder="1" applyAlignment="1">
      <alignment horizontal="center" vertical="top" wrapText="1"/>
    </xf>
    <xf numFmtId="0" fontId="21" fillId="0" borderId="1" xfId="0" applyFont="1" applyBorder="1" applyAlignment="1">
      <alignment horizontal="left" vertical="top" wrapText="1"/>
    </xf>
    <xf numFmtId="164" fontId="20" fillId="0" borderId="10" xfId="0" applyNumberFormat="1" applyFont="1" applyBorder="1" applyAlignment="1">
      <alignment vertical="top" wrapText="1"/>
    </xf>
    <xf numFmtId="1" fontId="14" fillId="0" borderId="9" xfId="0" applyNumberFormat="1" applyFont="1" applyBorder="1" applyAlignment="1">
      <alignment vertical="top" wrapText="1"/>
    </xf>
    <xf numFmtId="2" fontId="14" fillId="0" borderId="9" xfId="0" applyNumberFormat="1" applyFont="1" applyBorder="1" applyAlignment="1">
      <alignment horizontal="left" vertical="top" wrapText="1"/>
    </xf>
    <xf numFmtId="0" fontId="8" fillId="0" borderId="12" xfId="0" applyFont="1" applyBorder="1" applyAlignment="1">
      <alignment vertical="top" wrapText="1"/>
    </xf>
    <xf numFmtId="0" fontId="25" fillId="0" borderId="9" xfId="0" applyFont="1" applyBorder="1" applyAlignment="1">
      <alignment vertical="top" wrapText="1"/>
    </xf>
    <xf numFmtId="2" fontId="14" fillId="0" borderId="0" xfId="0" applyNumberFormat="1" applyFont="1" applyBorder="1" applyAlignment="1">
      <alignment vertical="top" wrapText="1"/>
    </xf>
    <xf numFmtId="2" fontId="14" fillId="0" borderId="0" xfId="0" applyNumberFormat="1" applyFont="1" applyBorder="1" applyAlignment="1">
      <alignment horizontal="center" vertical="top" wrapText="1"/>
    </xf>
    <xf numFmtId="164" fontId="9" fillId="0" borderId="0" xfId="0" applyNumberFormat="1" applyFont="1" applyBorder="1" applyAlignment="1">
      <alignment vertical="center" wrapText="1"/>
    </xf>
    <xf numFmtId="164" fontId="9" fillId="0" borderId="9" xfId="0" applyNumberFormat="1" applyFont="1" applyBorder="1" applyAlignment="1">
      <alignment vertical="center" wrapText="1"/>
    </xf>
    <xf numFmtId="0" fontId="14" fillId="0" borderId="8" xfId="0" applyFont="1" applyBorder="1" applyAlignment="1">
      <alignment horizontal="center" vertical="top" wrapText="1"/>
    </xf>
    <xf numFmtId="0" fontId="8" fillId="0" borderId="0" xfId="0" applyFont="1" applyBorder="1" applyAlignment="1">
      <alignment horizontal="left" wrapText="1"/>
    </xf>
    <xf numFmtId="2" fontId="8" fillId="0" borderId="9" xfId="0" applyNumberFormat="1" applyFont="1" applyBorder="1" applyAlignment="1">
      <alignment horizontal="left" vertical="center" wrapText="1"/>
    </xf>
    <xf numFmtId="0" fontId="20" fillId="0" borderId="0" xfId="0" applyFont="1" applyBorder="1" applyAlignment="1">
      <alignment horizontal="center" vertical="center" wrapText="1"/>
    </xf>
    <xf numFmtId="0" fontId="20" fillId="0" borderId="10" xfId="0" applyFont="1" applyBorder="1" applyAlignment="1">
      <alignment horizontal="center" vertical="top" wrapText="1"/>
    </xf>
    <xf numFmtId="1" fontId="8" fillId="0" borderId="10" xfId="0" applyNumberFormat="1" applyFont="1" applyBorder="1" applyAlignment="1">
      <alignment vertical="top" wrapText="1"/>
    </xf>
    <xf numFmtId="0" fontId="20" fillId="0" borderId="8" xfId="0" applyFont="1" applyBorder="1" applyAlignment="1">
      <alignment horizontal="justify" vertical="top" wrapText="1"/>
    </xf>
    <xf numFmtId="0" fontId="20" fillId="0" borderId="6" xfId="0" applyFont="1" applyBorder="1" applyAlignment="1">
      <alignment horizontal="justify" vertical="top" wrapText="1"/>
    </xf>
    <xf numFmtId="0" fontId="9" fillId="0" borderId="7" xfId="0" applyFont="1" applyBorder="1" applyAlignment="1">
      <alignment horizontal="center" vertical="top" wrapText="1"/>
    </xf>
    <xf numFmtId="0" fontId="9" fillId="0" borderId="8" xfId="0" applyFont="1" applyBorder="1" applyAlignment="1">
      <alignment horizontal="center" vertical="top" wrapText="1"/>
    </xf>
    <xf numFmtId="2" fontId="8" fillId="0" borderId="9" xfId="0" applyNumberFormat="1" applyFont="1" applyBorder="1" applyAlignment="1">
      <alignment horizontal="left" vertical="top" wrapText="1"/>
    </xf>
    <xf numFmtId="2" fontId="8" fillId="0" borderId="0" xfId="0" applyNumberFormat="1" applyFont="1" applyBorder="1" applyAlignment="1">
      <alignment horizontal="left" vertical="top" wrapText="1"/>
    </xf>
    <xf numFmtId="0" fontId="9" fillId="0" borderId="9" xfId="0" applyFont="1" applyBorder="1" applyAlignment="1">
      <alignment horizontal="center" vertical="top" wrapText="1"/>
    </xf>
    <xf numFmtId="2" fontId="8" fillId="0" borderId="0" xfId="0" applyNumberFormat="1" applyFont="1" applyBorder="1" applyAlignment="1">
      <alignment horizontal="center" vertical="top" wrapText="1"/>
    </xf>
    <xf numFmtId="2" fontId="8" fillId="0" borderId="1" xfId="0" applyNumberFormat="1" applyFont="1" applyBorder="1" applyAlignment="1">
      <alignment horizontal="center" vertical="top" wrapText="1"/>
    </xf>
    <xf numFmtId="2" fontId="8" fillId="0" borderId="9" xfId="0" applyNumberFormat="1" applyFont="1" applyBorder="1" applyAlignment="1">
      <alignment horizontal="center" vertical="top" wrapText="1"/>
    </xf>
    <xf numFmtId="2" fontId="8" fillId="0" borderId="10" xfId="0" applyNumberFormat="1" applyFont="1" applyBorder="1" applyAlignment="1">
      <alignment horizontal="left" vertical="top" wrapText="1"/>
    </xf>
    <xf numFmtId="2" fontId="8" fillId="0" borderId="1" xfId="0" applyNumberFormat="1" applyFont="1" applyBorder="1" applyAlignment="1">
      <alignment horizontal="left" vertical="top" wrapText="1"/>
    </xf>
    <xf numFmtId="0" fontId="7" fillId="0" borderId="2" xfId="0" applyFont="1" applyBorder="1" applyAlignment="1">
      <alignment horizontal="center" vertical="top" wrapText="1"/>
    </xf>
    <xf numFmtId="2" fontId="9" fillId="0" borderId="9" xfId="0" applyNumberFormat="1" applyFont="1" applyBorder="1" applyAlignment="1">
      <alignment horizontal="right" vertical="top" wrapText="1"/>
    </xf>
    <xf numFmtId="2" fontId="9" fillId="0" borderId="9" xfId="0" applyNumberFormat="1" applyFont="1" applyBorder="1" applyAlignment="1">
      <alignment horizontal="left" vertical="top" wrapText="1"/>
    </xf>
    <xf numFmtId="2" fontId="9" fillId="0" borderId="0" xfId="0" applyNumberFormat="1" applyFont="1" applyBorder="1" applyAlignment="1">
      <alignment horizontal="left" vertical="top" wrapText="1"/>
    </xf>
    <xf numFmtId="0" fontId="9" fillId="0" borderId="9" xfId="0" applyFont="1" applyBorder="1" applyAlignment="1">
      <alignment horizontal="left" vertical="top" wrapText="1"/>
    </xf>
    <xf numFmtId="0" fontId="9" fillId="0" borderId="8" xfId="0" applyFont="1" applyBorder="1" applyAlignment="1">
      <alignment horizontal="left" vertical="top" wrapText="1"/>
    </xf>
    <xf numFmtId="2" fontId="8" fillId="0" borderId="13" xfId="0" applyNumberFormat="1" applyFont="1" applyBorder="1" applyAlignment="1">
      <alignment horizontal="center" vertical="top" wrapText="1"/>
    </xf>
    <xf numFmtId="2" fontId="8" fillId="0" borderId="14" xfId="0" applyNumberFormat="1" applyFont="1" applyBorder="1" applyAlignment="1">
      <alignment horizontal="center" vertical="top" wrapText="1"/>
    </xf>
    <xf numFmtId="2" fontId="9" fillId="0" borderId="9" xfId="0" applyNumberFormat="1" applyFont="1" applyBorder="1" applyAlignment="1">
      <alignment horizontal="center" vertical="top" wrapText="1"/>
    </xf>
    <xf numFmtId="2" fontId="9" fillId="0" borderId="0" xfId="0" applyNumberFormat="1" applyFont="1" applyBorder="1" applyAlignment="1">
      <alignment horizontal="center" vertical="top" wrapText="1"/>
    </xf>
    <xf numFmtId="2" fontId="9" fillId="0" borderId="9" xfId="0" applyNumberFormat="1" applyFont="1" applyBorder="1" applyAlignment="1">
      <alignment vertical="center" wrapText="1"/>
    </xf>
    <xf numFmtId="2" fontId="9" fillId="0" borderId="0" xfId="0" applyNumberFormat="1" applyFont="1" applyBorder="1" applyAlignment="1">
      <alignment vertical="center" wrapText="1"/>
    </xf>
    <xf numFmtId="2" fontId="9" fillId="0" borderId="14" xfId="0" applyNumberFormat="1" applyFont="1" applyBorder="1" applyAlignment="1">
      <alignment horizontal="left" vertical="top" wrapText="1"/>
    </xf>
    <xf numFmtId="0" fontId="9" fillId="0" borderId="0" xfId="0" applyFont="1" applyBorder="1" applyAlignment="1">
      <alignment horizontal="left" vertical="top" wrapText="1"/>
    </xf>
    <xf numFmtId="0" fontId="20" fillId="0" borderId="9" xfId="0" applyFont="1" applyBorder="1" applyAlignment="1">
      <alignment horizontal="justify" vertical="top" wrapText="1"/>
    </xf>
    <xf numFmtId="2" fontId="9" fillId="0" borderId="0" xfId="0" applyNumberFormat="1" applyFont="1" applyBorder="1" applyAlignment="1">
      <alignment horizontal="center" vertical="center" wrapText="1"/>
    </xf>
    <xf numFmtId="0" fontId="8" fillId="0" borderId="9" xfId="0" applyFont="1" applyBorder="1" applyAlignment="1">
      <alignment horizontal="center" vertical="top" wrapText="1"/>
    </xf>
    <xf numFmtId="0" fontId="8" fillId="0" borderId="0" xfId="0" applyFont="1" applyBorder="1" applyAlignment="1">
      <alignment horizontal="center" vertical="top" wrapText="1"/>
    </xf>
    <xf numFmtId="0" fontId="9" fillId="0" borderId="9" xfId="0" applyFont="1" applyBorder="1" applyAlignment="1">
      <alignment horizontal="justify" vertical="top" wrapText="1"/>
    </xf>
    <xf numFmtId="1" fontId="8" fillId="0" borderId="0" xfId="0" applyNumberFormat="1" applyFont="1" applyBorder="1" applyAlignment="1">
      <alignment horizontal="center" vertical="top" wrapText="1"/>
    </xf>
    <xf numFmtId="0" fontId="8" fillId="0" borderId="0" xfId="0" applyFont="1" applyBorder="1" applyAlignment="1">
      <alignment horizontal="left" vertical="top" wrapText="1"/>
    </xf>
    <xf numFmtId="2" fontId="14" fillId="0" borderId="10" xfId="0" applyNumberFormat="1" applyFont="1" applyBorder="1" applyAlignment="1">
      <alignment horizontal="center" vertical="top" wrapText="1"/>
    </xf>
    <xf numFmtId="2" fontId="14" fillId="0" borderId="1" xfId="0" applyNumberFormat="1" applyFont="1" applyBorder="1" applyAlignment="1">
      <alignment horizontal="center" vertical="top" wrapText="1"/>
    </xf>
    <xf numFmtId="1" fontId="8" fillId="0" borderId="9" xfId="0" applyNumberFormat="1" applyFont="1" applyBorder="1" applyAlignment="1">
      <alignment horizontal="left" vertical="top" wrapText="1"/>
    </xf>
    <xf numFmtId="2" fontId="8" fillId="0" borderId="0" xfId="0" applyNumberFormat="1" applyFont="1" applyBorder="1" applyAlignment="1">
      <alignment horizontal="center" vertical="center" wrapText="1"/>
    </xf>
    <xf numFmtId="2" fontId="14" fillId="0" borderId="9" xfId="0" applyNumberFormat="1" applyFont="1" applyBorder="1" applyAlignment="1">
      <alignment horizontal="center" vertical="top" wrapText="1"/>
    </xf>
    <xf numFmtId="2" fontId="6" fillId="0" borderId="9" xfId="0" applyNumberFormat="1" applyFont="1" applyBorder="1" applyAlignment="1">
      <alignment horizontal="center" vertical="top" wrapText="1"/>
    </xf>
    <xf numFmtId="2" fontId="6" fillId="0" borderId="0" xfId="0" applyNumberFormat="1" applyFont="1" applyBorder="1" applyAlignment="1">
      <alignment horizontal="center" vertical="top" wrapText="1"/>
    </xf>
    <xf numFmtId="1" fontId="20" fillId="0" borderId="0" xfId="0" applyNumberFormat="1" applyFont="1" applyBorder="1" applyAlignment="1">
      <alignment vertical="top" wrapText="1"/>
    </xf>
    <xf numFmtId="1" fontId="20" fillId="0" borderId="10" xfId="0" applyNumberFormat="1" applyFont="1" applyBorder="1" applyAlignment="1">
      <alignment vertical="top" wrapText="1"/>
    </xf>
    <xf numFmtId="2" fontId="6" fillId="0" borderId="9" xfId="0" applyNumberFormat="1" applyFont="1" applyBorder="1" applyAlignment="1">
      <alignment vertical="top" wrapText="1"/>
    </xf>
    <xf numFmtId="2" fontId="6" fillId="0" borderId="0" xfId="0" applyNumberFormat="1" applyFont="1" applyBorder="1" applyAlignment="1">
      <alignment vertical="top" wrapText="1"/>
    </xf>
    <xf numFmtId="2" fontId="6" fillId="0" borderId="12" xfId="0" applyNumberFormat="1" applyFont="1" applyBorder="1" applyAlignment="1">
      <alignment vertical="top" wrapText="1"/>
    </xf>
    <xf numFmtId="2" fontId="8" fillId="0" borderId="11" xfId="0" applyNumberFormat="1" applyFont="1" applyBorder="1" applyAlignment="1">
      <alignment horizontal="center" vertical="top" wrapText="1"/>
    </xf>
    <xf numFmtId="2" fontId="26" fillId="0" borderId="0" xfId="0" applyNumberFormat="1" applyFont="1" applyBorder="1" applyAlignment="1">
      <alignment vertical="top" wrapText="1"/>
    </xf>
    <xf numFmtId="2" fontId="26" fillId="0" borderId="12" xfId="0" applyNumberFormat="1" applyFont="1" applyBorder="1" applyAlignment="1">
      <alignment vertical="top" wrapText="1"/>
    </xf>
    <xf numFmtId="164" fontId="26" fillId="0" borderId="0" xfId="0" applyNumberFormat="1" applyFont="1" applyBorder="1" applyAlignment="1">
      <alignment vertical="top" wrapText="1"/>
    </xf>
    <xf numFmtId="2" fontId="6" fillId="0" borderId="9" xfId="0" applyNumberFormat="1" applyFont="1" applyBorder="1" applyAlignment="1">
      <alignment horizontal="center" vertical="top" wrapText="1"/>
    </xf>
    <xf numFmtId="2" fontId="6" fillId="0" borderId="0" xfId="0" applyNumberFormat="1" applyFont="1" applyBorder="1" applyAlignment="1">
      <alignment horizontal="center" vertical="top" wrapText="1"/>
    </xf>
    <xf numFmtId="2" fontId="8" fillId="0" borderId="0" xfId="0" applyNumberFormat="1" applyFont="1" applyBorder="1" applyAlignment="1">
      <alignment horizontal="left" vertical="top" wrapText="1"/>
    </xf>
    <xf numFmtId="2" fontId="8" fillId="0" borderId="9" xfId="0" applyNumberFormat="1" applyFont="1" applyBorder="1" applyAlignment="1">
      <alignment horizontal="center" vertical="top" wrapText="1"/>
    </xf>
    <xf numFmtId="2" fontId="8" fillId="0" borderId="0" xfId="0" applyNumberFormat="1" applyFont="1" applyBorder="1" applyAlignment="1">
      <alignment horizontal="center" vertical="top" wrapText="1"/>
    </xf>
    <xf numFmtId="0" fontId="8" fillId="0" borderId="0" xfId="0" applyFont="1" applyBorder="1" applyAlignment="1">
      <alignment horizontal="left" vertical="top" wrapText="1"/>
    </xf>
    <xf numFmtId="1" fontId="8" fillId="0" borderId="0" xfId="0" applyNumberFormat="1" applyFont="1" applyBorder="1" applyAlignment="1">
      <alignment horizontal="center" vertical="top" wrapText="1"/>
    </xf>
    <xf numFmtId="2" fontId="8" fillId="0" borderId="1" xfId="0" applyNumberFormat="1" applyFont="1" applyBorder="1" applyAlignment="1">
      <alignment horizontal="center" vertical="top" wrapText="1"/>
    </xf>
    <xf numFmtId="2" fontId="26" fillId="0" borderId="0" xfId="0" applyNumberFormat="1" applyFont="1" applyBorder="1" applyAlignment="1">
      <alignment horizontal="center" vertical="top" wrapText="1"/>
    </xf>
    <xf numFmtId="0" fontId="26" fillId="0" borderId="0" xfId="0" applyFont="1" applyBorder="1" applyAlignment="1">
      <alignment horizontal="left" vertical="top" wrapText="1"/>
    </xf>
    <xf numFmtId="0" fontId="25" fillId="0" borderId="8" xfId="0" applyFont="1" applyBorder="1" applyAlignment="1">
      <alignment vertical="top" wrapText="1"/>
    </xf>
    <xf numFmtId="0" fontId="25" fillId="0" borderId="9" xfId="0" applyFont="1" applyBorder="1" applyAlignment="1">
      <alignment horizontal="center" vertical="top" wrapText="1"/>
    </xf>
    <xf numFmtId="0" fontId="25" fillId="0" borderId="9" xfId="0" applyFont="1" applyBorder="1" applyAlignment="1">
      <alignment horizontal="left" vertical="top" wrapText="1"/>
    </xf>
    <xf numFmtId="0" fontId="3" fillId="0" borderId="8" xfId="0" applyFont="1" applyBorder="1" applyAlignment="1">
      <alignment vertical="top" wrapText="1"/>
    </xf>
    <xf numFmtId="0" fontId="25" fillId="0" borderId="8" xfId="0" applyFont="1" applyBorder="1" applyAlignment="1">
      <alignment horizontal="center" vertical="top" wrapText="1"/>
    </xf>
    <xf numFmtId="0" fontId="3" fillId="0" borderId="0" xfId="0" applyFont="1" applyBorder="1"/>
    <xf numFmtId="0" fontId="9" fillId="0" borderId="15" xfId="0" applyFont="1" applyBorder="1" applyAlignment="1">
      <alignment vertical="top" wrapText="1"/>
    </xf>
    <xf numFmtId="0" fontId="9" fillId="0" borderId="12" xfId="0" applyFont="1" applyBorder="1" applyAlignment="1">
      <alignment vertical="top" wrapText="1"/>
    </xf>
    <xf numFmtId="0" fontId="9" fillId="0" borderId="11" xfId="0" applyFont="1" applyBorder="1" applyAlignment="1">
      <alignment vertical="top" wrapText="1"/>
    </xf>
    <xf numFmtId="0" fontId="20" fillId="0" borderId="12" xfId="0" applyFont="1" applyBorder="1" applyAlignment="1">
      <alignment vertical="top" wrapText="1"/>
    </xf>
    <xf numFmtId="0" fontId="14" fillId="0" borderId="12" xfId="0" applyFont="1" applyBorder="1" applyAlignment="1">
      <alignment vertical="top" wrapText="1"/>
    </xf>
    <xf numFmtId="0" fontId="3" fillId="0" borderId="9" xfId="0" applyFont="1" applyBorder="1"/>
    <xf numFmtId="0" fontId="20" fillId="0" borderId="15" xfId="0" applyFont="1" applyBorder="1" applyAlignment="1">
      <alignment vertical="top" wrapText="1"/>
    </xf>
    <xf numFmtId="0" fontId="3" fillId="0" borderId="12" xfId="0" applyFont="1" applyBorder="1"/>
    <xf numFmtId="0" fontId="1" fillId="0" borderId="0" xfId="0" applyFont="1" applyBorder="1" applyAlignment="1">
      <alignment horizontal="center" vertical="top" wrapText="1"/>
    </xf>
    <xf numFmtId="2" fontId="1" fillId="0" borderId="0" xfId="0" applyNumberFormat="1" applyFont="1" applyBorder="1" applyAlignment="1">
      <alignment horizontal="center" vertical="center" wrapText="1"/>
    </xf>
    <xf numFmtId="0" fontId="3" fillId="0" borderId="0" xfId="0" applyFont="1" applyBorder="1" applyAlignment="1">
      <alignment vertical="center"/>
    </xf>
    <xf numFmtId="0" fontId="9" fillId="0" borderId="12" xfId="0" applyFont="1" applyBorder="1" applyAlignment="1">
      <alignment vertical="center" wrapText="1"/>
    </xf>
    <xf numFmtId="0" fontId="20" fillId="0" borderId="11" xfId="0" applyFont="1" applyBorder="1" applyAlignment="1">
      <alignment vertical="top" wrapText="1"/>
    </xf>
    <xf numFmtId="0" fontId="1" fillId="0" borderId="0" xfId="0" applyFont="1" applyBorder="1" applyAlignment="1">
      <alignment vertical="top" wrapText="1"/>
    </xf>
    <xf numFmtId="0" fontId="3" fillId="0" borderId="0" xfId="0" applyFont="1" applyBorder="1" applyAlignment="1">
      <alignment horizontal="left" vertical="top" wrapText="1"/>
    </xf>
    <xf numFmtId="0" fontId="1" fillId="0" borderId="9" xfId="0" applyFont="1" applyBorder="1" applyAlignment="1">
      <alignment horizontal="center" vertical="top" wrapText="1"/>
    </xf>
    <xf numFmtId="1" fontId="3" fillId="0" borderId="0" xfId="0" applyNumberFormat="1" applyFont="1" applyBorder="1" applyAlignment="1">
      <alignment horizontal="left" vertical="top" wrapText="1"/>
    </xf>
    <xf numFmtId="0" fontId="3" fillId="0" borderId="10" xfId="0" applyFont="1" applyBorder="1"/>
    <xf numFmtId="0" fontId="3" fillId="0" borderId="11" xfId="0" applyFont="1" applyBorder="1"/>
    <xf numFmtId="0" fontId="9" fillId="0" borderId="0" xfId="0" applyFont="1" applyBorder="1" applyAlignment="1">
      <alignment vertical="top" wrapText="1"/>
    </xf>
    <xf numFmtId="0" fontId="3" fillId="0" borderId="9" xfId="0" applyFont="1" applyBorder="1" applyAlignment="1">
      <alignment vertical="top"/>
    </xf>
    <xf numFmtId="0" fontId="27" fillId="0" borderId="9" xfId="0" applyFont="1" applyBorder="1" applyAlignment="1">
      <alignment vertical="top" wrapText="1"/>
    </xf>
    <xf numFmtId="2" fontId="3" fillId="0" borderId="2" xfId="0" applyNumberFormat="1" applyFont="1" applyBorder="1" applyAlignment="1">
      <alignment vertical="top"/>
    </xf>
    <xf numFmtId="2" fontId="3" fillId="0" borderId="0" xfId="0" applyNumberFormat="1" applyFont="1" applyBorder="1"/>
    <xf numFmtId="0" fontId="24" fillId="0" borderId="9" xfId="0" applyFont="1" applyBorder="1" applyAlignment="1">
      <alignment vertical="top"/>
    </xf>
    <xf numFmtId="0" fontId="24" fillId="0" borderId="9" xfId="0" applyFont="1" applyBorder="1" applyAlignment="1">
      <alignment vertical="top" wrapText="1"/>
    </xf>
    <xf numFmtId="0" fontId="28" fillId="0" borderId="9" xfId="0" applyFont="1" applyBorder="1" applyAlignment="1">
      <alignment vertical="top"/>
    </xf>
    <xf numFmtId="0" fontId="28" fillId="0" borderId="9" xfId="0" applyFont="1" applyBorder="1" applyAlignment="1">
      <alignment vertical="top" wrapText="1"/>
    </xf>
    <xf numFmtId="0" fontId="26" fillId="0" borderId="12" xfId="0" applyFont="1" applyBorder="1" applyAlignment="1">
      <alignment vertical="top" wrapText="1"/>
    </xf>
    <xf numFmtId="0" fontId="3" fillId="0" borderId="9" xfId="0" applyFont="1" applyBorder="1" applyAlignment="1">
      <alignment horizontal="center" vertical="top" wrapText="1"/>
    </xf>
    <xf numFmtId="0" fontId="29" fillId="0" borderId="9" xfId="0" applyFont="1" applyBorder="1" applyAlignment="1">
      <alignment horizontal="left" vertical="top" wrapText="1"/>
    </xf>
    <xf numFmtId="0" fontId="3" fillId="0" borderId="10" xfId="0" applyFont="1" applyBorder="1" applyAlignment="1">
      <alignment horizontal="center" vertical="top" wrapText="1"/>
    </xf>
    <xf numFmtId="0" fontId="29" fillId="0" borderId="10" xfId="0" applyFont="1" applyBorder="1" applyAlignment="1">
      <alignment horizontal="left" vertical="top" wrapText="1"/>
    </xf>
    <xf numFmtId="0" fontId="3" fillId="0" borderId="8" xfId="0" applyFont="1" applyBorder="1" applyAlignment="1">
      <alignment horizontal="center" vertical="top" wrapText="1"/>
    </xf>
    <xf numFmtId="0" fontId="3" fillId="0" borderId="9" xfId="0" applyFont="1" applyBorder="1" applyAlignment="1">
      <alignment horizontal="left" vertical="top" wrapText="1"/>
    </xf>
    <xf numFmtId="0" fontId="3" fillId="0" borderId="9" xfId="0" applyFont="1" applyBorder="1" applyAlignment="1">
      <alignment horizontal="right" vertical="top" wrapText="1"/>
    </xf>
    <xf numFmtId="0" fontId="3" fillId="0" borderId="0" xfId="0" applyFont="1" applyBorder="1" applyAlignment="1">
      <alignment horizontal="center" vertical="top" wrapText="1"/>
    </xf>
    <xf numFmtId="0" fontId="3" fillId="0" borderId="12" xfId="0" applyFont="1" applyBorder="1" applyAlignment="1">
      <alignment vertical="top" wrapText="1"/>
    </xf>
    <xf numFmtId="0" fontId="1" fillId="0" borderId="9" xfId="0" applyFont="1" applyBorder="1" applyAlignment="1">
      <alignment vertical="top" wrapText="1"/>
    </xf>
    <xf numFmtId="2" fontId="3" fillId="0" borderId="0" xfId="0" applyNumberFormat="1" applyFont="1" applyBorder="1" applyAlignment="1">
      <alignment horizontal="left" vertical="top" wrapText="1"/>
    </xf>
    <xf numFmtId="164" fontId="3" fillId="0" borderId="0" xfId="0" applyNumberFormat="1" applyFont="1" applyBorder="1" applyAlignment="1">
      <alignment horizontal="left" vertical="top" wrapText="1"/>
    </xf>
    <xf numFmtId="2" fontId="3" fillId="0" borderId="0" xfId="0" applyNumberFormat="1" applyFont="1" applyBorder="1" applyAlignment="1">
      <alignment horizontal="center" vertical="top" wrapText="1"/>
    </xf>
    <xf numFmtId="0" fontId="1" fillId="0" borderId="10" xfId="0" applyFont="1" applyBorder="1" applyAlignment="1">
      <alignment horizontal="center" vertical="top" wrapText="1"/>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2" fontId="3" fillId="0" borderId="1" xfId="0" applyNumberFormat="1" applyFont="1" applyBorder="1" applyAlignment="1">
      <alignment horizontal="center" vertical="top" wrapText="1"/>
    </xf>
    <xf numFmtId="0" fontId="3" fillId="0" borderId="11" xfId="0" applyFont="1" applyBorder="1" applyAlignment="1">
      <alignment vertical="top" wrapText="1"/>
    </xf>
    <xf numFmtId="1" fontId="3" fillId="0" borderId="0" xfId="0" applyNumberFormat="1" applyFont="1" applyBorder="1" applyAlignment="1">
      <alignment horizontal="center" vertical="top" wrapText="1"/>
    </xf>
    <xf numFmtId="0" fontId="3" fillId="0" borderId="6" xfId="0" applyFont="1" applyBorder="1" applyAlignment="1">
      <alignment vertical="top" wrapText="1"/>
    </xf>
    <xf numFmtId="0" fontId="1" fillId="0" borderId="10" xfId="0" applyFont="1" applyBorder="1" applyAlignment="1">
      <alignment vertical="top" wrapText="1"/>
    </xf>
    <xf numFmtId="1" fontId="3" fillId="0" borderId="1" xfId="0" applyNumberFormat="1" applyFont="1" applyBorder="1" applyAlignment="1">
      <alignment horizontal="center" vertical="top" wrapText="1"/>
    </xf>
    <xf numFmtId="0" fontId="3" fillId="0" borderId="10" xfId="0" applyFont="1" applyBorder="1" applyAlignment="1">
      <alignment vertical="top" wrapText="1"/>
    </xf>
    <xf numFmtId="0" fontId="3" fillId="0" borderId="1" xfId="0" applyFont="1" applyBorder="1" applyAlignment="1">
      <alignment vertical="top" wrapText="1"/>
    </xf>
    <xf numFmtId="164" fontId="3" fillId="0" borderId="1" xfId="0" applyNumberFormat="1" applyFont="1" applyBorder="1" applyAlignment="1">
      <alignment horizontal="center" vertical="top" wrapText="1"/>
    </xf>
    <xf numFmtId="0" fontId="3" fillId="0" borderId="0" xfId="0" applyFont="1" applyAlignment="1">
      <alignment horizontal="right" vertical="top" wrapText="1"/>
    </xf>
    <xf numFmtId="0" fontId="3" fillId="0" borderId="0" xfId="0" applyFont="1" applyAlignment="1">
      <alignment horizontal="left" vertical="top" wrapText="1"/>
    </xf>
    <xf numFmtId="0" fontId="3" fillId="0" borderId="6" xfId="0" applyFont="1" applyBorder="1"/>
    <xf numFmtId="0" fontId="3" fillId="0" borderId="2" xfId="0" applyFont="1" applyBorder="1"/>
    <xf numFmtId="2" fontId="31" fillId="0" borderId="9" xfId="0" applyNumberFormat="1" applyFont="1" applyBorder="1" applyAlignment="1">
      <alignment horizontal="right" vertical="top" wrapText="1"/>
    </xf>
    <xf numFmtId="0" fontId="31" fillId="0" borderId="0" xfId="0" applyFont="1" applyBorder="1" applyAlignment="1">
      <alignment horizontal="left" vertical="top" wrapText="1"/>
    </xf>
    <xf numFmtId="2" fontId="31" fillId="0" borderId="0" xfId="0" applyNumberFormat="1" applyFont="1" applyBorder="1" applyAlignment="1">
      <alignment horizontal="center" vertical="top" wrapText="1"/>
    </xf>
    <xf numFmtId="164" fontId="31" fillId="0" borderId="0" xfId="0" applyNumberFormat="1" applyFont="1" applyBorder="1" applyAlignment="1">
      <alignment vertical="top" wrapText="1"/>
    </xf>
    <xf numFmtId="0" fontId="1" fillId="0" borderId="12" xfId="0" applyFont="1" applyBorder="1" applyAlignment="1">
      <alignment vertical="top" wrapText="1"/>
    </xf>
    <xf numFmtId="2" fontId="7" fillId="0" borderId="9" xfId="0" applyNumberFormat="1" applyFont="1" applyBorder="1" applyAlignment="1">
      <alignment vertical="top" wrapText="1"/>
    </xf>
    <xf numFmtId="2" fontId="7" fillId="0" borderId="0" xfId="0" applyNumberFormat="1" applyFont="1" applyBorder="1" applyAlignment="1">
      <alignment vertical="top" wrapText="1"/>
    </xf>
    <xf numFmtId="2" fontId="7" fillId="0" borderId="12" xfId="0" applyNumberFormat="1" applyFont="1" applyBorder="1" applyAlignment="1">
      <alignment vertical="top" wrapText="1"/>
    </xf>
    <xf numFmtId="0" fontId="1" fillId="0" borderId="9" xfId="0" applyFont="1" applyBorder="1" applyAlignment="1">
      <alignment vertical="top"/>
    </xf>
    <xf numFmtId="0" fontId="14" fillId="0" borderId="1" xfId="0" applyFont="1" applyBorder="1" applyAlignment="1">
      <alignment horizontal="left" vertical="top" wrapText="1"/>
    </xf>
    <xf numFmtId="0" fontId="14" fillId="0" borderId="11" xfId="0" applyFont="1" applyBorder="1" applyAlignment="1">
      <alignment horizontal="left" vertical="top" wrapText="1"/>
    </xf>
    <xf numFmtId="2" fontId="14" fillId="0" borderId="12" xfId="0" applyNumberFormat="1" applyFont="1" applyBorder="1" applyAlignment="1">
      <alignment vertical="top" wrapText="1"/>
    </xf>
    <xf numFmtId="1" fontId="14" fillId="0" borderId="0" xfId="0" applyNumberFormat="1" applyFont="1" applyBorder="1" applyAlignment="1">
      <alignment horizontal="left" vertical="top" wrapText="1"/>
    </xf>
    <xf numFmtId="1" fontId="20" fillId="0" borderId="0" xfId="0" applyNumberFormat="1" applyFont="1" applyBorder="1" applyAlignment="1">
      <alignment horizontal="left" vertical="top" wrapText="1"/>
    </xf>
    <xf numFmtId="0" fontId="20" fillId="0" borderId="1" xfId="0" applyFont="1" applyBorder="1" applyAlignment="1">
      <alignment horizontal="left" vertical="top" wrapText="1"/>
    </xf>
    <xf numFmtId="0" fontId="20" fillId="0" borderId="11" xfId="0" applyFont="1" applyBorder="1" applyAlignment="1">
      <alignment horizontal="left" vertical="top" wrapText="1"/>
    </xf>
    <xf numFmtId="0" fontId="11" fillId="0" borderId="0" xfId="0" applyFont="1" applyBorder="1" applyAlignment="1">
      <alignment horizontal="center" vertical="top" wrapText="1"/>
    </xf>
    <xf numFmtId="1" fontId="25" fillId="0" borderId="0" xfId="0" applyNumberFormat="1" applyFont="1" applyBorder="1" applyAlignment="1">
      <alignment horizontal="left" vertical="top" wrapText="1"/>
    </xf>
    <xf numFmtId="2" fontId="8" fillId="0" borderId="9" xfId="0" applyNumberFormat="1" applyFont="1" applyBorder="1" applyAlignment="1">
      <alignment vertical="center" wrapText="1"/>
    </xf>
    <xf numFmtId="164" fontId="9" fillId="0" borderId="2" xfId="0" applyNumberFormat="1" applyFont="1" applyBorder="1" applyAlignment="1">
      <alignment horizontal="center" vertical="center"/>
    </xf>
    <xf numFmtId="0" fontId="2" fillId="0" borderId="0" xfId="0" applyFont="1" applyAlignment="1">
      <alignment horizontal="justify" vertical="top" wrapText="1"/>
    </xf>
    <xf numFmtId="0" fontId="2" fillId="0" borderId="0" xfId="0" applyFont="1" applyAlignment="1">
      <alignment horizontal="center"/>
    </xf>
    <xf numFmtId="0" fontId="11" fillId="0" borderId="1" xfId="0" applyFont="1" applyBorder="1" applyAlignment="1">
      <alignment horizontal="justify" vertical="top" wrapText="1"/>
    </xf>
    <xf numFmtId="0" fontId="0" fillId="0" borderId="3" xfId="0" applyBorder="1" applyAlignment="1">
      <alignment horizontal="right" vertical="top"/>
    </xf>
    <xf numFmtId="0" fontId="0" fillId="0" borderId="4" xfId="0" applyBorder="1" applyAlignment="1">
      <alignment horizontal="right" vertical="top"/>
    </xf>
    <xf numFmtId="0" fontId="0" fillId="0" borderId="5" xfId="0" applyBorder="1" applyAlignment="1">
      <alignment horizontal="right" vertical="top"/>
    </xf>
    <xf numFmtId="2" fontId="14" fillId="0" borderId="9" xfId="0" applyNumberFormat="1" applyFont="1" applyBorder="1" applyAlignment="1">
      <alignment horizontal="center" vertical="top" wrapText="1"/>
    </xf>
    <xf numFmtId="2" fontId="14" fillId="0" borderId="12" xfId="0" applyNumberFormat="1" applyFont="1" applyBorder="1" applyAlignment="1">
      <alignment horizontal="center" vertical="top" wrapText="1"/>
    </xf>
    <xf numFmtId="2" fontId="8" fillId="0" borderId="9" xfId="0" applyNumberFormat="1" applyFont="1" applyBorder="1" applyAlignment="1">
      <alignment horizontal="center" vertical="center" wrapText="1"/>
    </xf>
    <xf numFmtId="2" fontId="8" fillId="0" borderId="0" xfId="0" applyNumberFormat="1" applyFont="1" applyBorder="1" applyAlignment="1">
      <alignment horizontal="center" vertical="center" wrapText="1"/>
    </xf>
    <xf numFmtId="2" fontId="9" fillId="0" borderId="9" xfId="0" applyNumberFormat="1" applyFont="1" applyBorder="1" applyAlignment="1">
      <alignment vertical="center" wrapText="1"/>
    </xf>
    <xf numFmtId="2" fontId="9" fillId="0" borderId="0" xfId="0" applyNumberFormat="1" applyFont="1" applyBorder="1" applyAlignment="1">
      <alignment vertical="center" wrapText="1"/>
    </xf>
    <xf numFmtId="2" fontId="9" fillId="0" borderId="9" xfId="0" applyNumberFormat="1" applyFont="1" applyBorder="1" applyAlignment="1">
      <alignment horizontal="center" vertical="center" wrapText="1"/>
    </xf>
    <xf numFmtId="2" fontId="9" fillId="0" borderId="0" xfId="0" applyNumberFormat="1" applyFont="1" applyBorder="1" applyAlignment="1">
      <alignment horizontal="center" vertical="center" wrapText="1"/>
    </xf>
    <xf numFmtId="2" fontId="8" fillId="0" borderId="0" xfId="0" applyNumberFormat="1" applyFont="1" applyBorder="1" applyAlignment="1">
      <alignment horizontal="center" vertical="top" wrapText="1"/>
    </xf>
    <xf numFmtId="2" fontId="8" fillId="0" borderId="9" xfId="0" applyNumberFormat="1" applyFont="1" applyBorder="1" applyAlignment="1">
      <alignment horizontal="center" vertical="top" wrapText="1"/>
    </xf>
    <xf numFmtId="2" fontId="8" fillId="0" borderId="9" xfId="0" applyNumberFormat="1" applyFont="1" applyBorder="1" applyAlignment="1">
      <alignment horizontal="left" vertical="top" wrapText="1"/>
    </xf>
    <xf numFmtId="2" fontId="8" fillId="0" borderId="0" xfId="0" applyNumberFormat="1" applyFont="1" applyBorder="1" applyAlignment="1">
      <alignment horizontal="left" vertical="top" wrapText="1"/>
    </xf>
    <xf numFmtId="0" fontId="8" fillId="0" borderId="0" xfId="0" applyFont="1" applyBorder="1" applyAlignment="1">
      <alignment horizontal="center" vertical="top" wrapText="1"/>
    </xf>
    <xf numFmtId="2" fontId="9" fillId="0" borderId="9" xfId="0" applyNumberFormat="1" applyFont="1" applyBorder="1" applyAlignment="1">
      <alignment horizontal="center" vertical="top" wrapText="1"/>
    </xf>
    <xf numFmtId="2" fontId="9" fillId="0" borderId="0" xfId="0" applyNumberFormat="1" applyFont="1" applyBorder="1" applyAlignment="1">
      <alignment horizontal="center" vertical="top" wrapText="1"/>
    </xf>
    <xf numFmtId="2" fontId="6" fillId="0" borderId="9" xfId="0" applyNumberFormat="1" applyFont="1" applyBorder="1" applyAlignment="1">
      <alignment horizontal="center" vertical="top" wrapText="1"/>
    </xf>
    <xf numFmtId="2" fontId="6" fillId="0" borderId="0" xfId="0" applyNumberFormat="1" applyFont="1" applyBorder="1" applyAlignment="1">
      <alignment horizontal="center" vertical="top" wrapText="1"/>
    </xf>
    <xf numFmtId="2" fontId="6" fillId="0" borderId="12" xfId="0" applyNumberFormat="1" applyFont="1" applyBorder="1" applyAlignment="1">
      <alignment horizontal="center" vertical="top" wrapText="1"/>
    </xf>
    <xf numFmtId="2" fontId="26" fillId="0" borderId="9" xfId="0" applyNumberFormat="1" applyFont="1" applyBorder="1" applyAlignment="1">
      <alignment horizontal="center" vertical="top" wrapText="1"/>
    </xf>
    <xf numFmtId="2" fontId="26" fillId="0" borderId="0" xfId="0" applyNumberFormat="1" applyFont="1" applyBorder="1" applyAlignment="1">
      <alignment horizontal="center" vertical="top" wrapText="1"/>
    </xf>
    <xf numFmtId="2" fontId="14" fillId="0" borderId="10" xfId="0" applyNumberFormat="1" applyFont="1" applyBorder="1" applyAlignment="1">
      <alignment horizontal="center" vertical="top" wrapText="1"/>
    </xf>
    <xf numFmtId="2" fontId="14" fillId="0" borderId="1" xfId="0" applyNumberFormat="1" applyFont="1" applyBorder="1" applyAlignment="1">
      <alignment horizontal="center" vertical="top" wrapText="1"/>
    </xf>
    <xf numFmtId="0" fontId="8" fillId="0" borderId="9" xfId="0" applyFont="1" applyBorder="1" applyAlignment="1">
      <alignment horizontal="center" vertical="top" wrapText="1"/>
    </xf>
    <xf numFmtId="0" fontId="1" fillId="0" borderId="9" xfId="0" applyFont="1" applyBorder="1" applyAlignment="1">
      <alignment horizontal="center" vertical="top" wrapText="1"/>
    </xf>
    <xf numFmtId="0" fontId="1" fillId="0" borderId="0" xfId="0" applyFont="1" applyBorder="1" applyAlignment="1">
      <alignment horizontal="center" vertical="top" wrapText="1"/>
    </xf>
    <xf numFmtId="0" fontId="32" fillId="0" borderId="9" xfId="0" applyFont="1" applyBorder="1" applyAlignment="1">
      <alignment horizontal="center" vertical="top" wrapText="1"/>
    </xf>
    <xf numFmtId="0" fontId="32" fillId="0" borderId="0" xfId="0" applyFont="1" applyBorder="1" applyAlignment="1">
      <alignment horizontal="center" vertical="top" wrapText="1"/>
    </xf>
    <xf numFmtId="2" fontId="8" fillId="0" borderId="13" xfId="0" applyNumberFormat="1" applyFont="1" applyBorder="1" applyAlignment="1">
      <alignment horizontal="center" vertical="top" wrapText="1"/>
    </xf>
    <xf numFmtId="2" fontId="8" fillId="0" borderId="14" xfId="0" applyNumberFormat="1" applyFont="1" applyBorder="1" applyAlignment="1">
      <alignment horizontal="center" vertical="top" wrapText="1"/>
    </xf>
    <xf numFmtId="2" fontId="9" fillId="0" borderId="10" xfId="0" applyNumberFormat="1" applyFont="1" applyBorder="1" applyAlignment="1">
      <alignment horizontal="center" vertical="top" wrapText="1"/>
    </xf>
    <xf numFmtId="2" fontId="9" fillId="0" borderId="1" xfId="0" applyNumberFormat="1" applyFont="1" applyBorder="1" applyAlignment="1">
      <alignment horizontal="center" vertical="top" wrapText="1"/>
    </xf>
    <xf numFmtId="0" fontId="20" fillId="0" borderId="13" xfId="0" applyFont="1" applyBorder="1" applyAlignment="1">
      <alignment horizontal="justify" vertical="top" wrapText="1"/>
    </xf>
    <xf numFmtId="0" fontId="20" fillId="0" borderId="9" xfId="0" applyFont="1" applyBorder="1" applyAlignment="1">
      <alignment horizontal="justify" vertical="top" wrapText="1"/>
    </xf>
    <xf numFmtId="0" fontId="14" fillId="0" borderId="13" xfId="0" applyFont="1" applyBorder="1" applyAlignment="1">
      <alignment horizontal="left" vertical="top" wrapText="1"/>
    </xf>
    <xf numFmtId="0" fontId="14" fillId="0" borderId="9" xfId="0" applyFont="1" applyBorder="1" applyAlignment="1">
      <alignment horizontal="left" vertical="top" wrapText="1"/>
    </xf>
    <xf numFmtId="2" fontId="9" fillId="0" borderId="9" xfId="0" applyNumberFormat="1" applyFont="1" applyBorder="1" applyAlignment="1">
      <alignment horizontal="left" vertical="top" wrapText="1"/>
    </xf>
    <xf numFmtId="2" fontId="9" fillId="0" borderId="0" xfId="0" applyNumberFormat="1" applyFont="1" applyBorder="1" applyAlignment="1">
      <alignment horizontal="left" vertical="top" wrapText="1"/>
    </xf>
    <xf numFmtId="0" fontId="9" fillId="0" borderId="13" xfId="0" applyFont="1" applyBorder="1" applyAlignment="1">
      <alignment horizontal="left" vertical="top" wrapText="1"/>
    </xf>
    <xf numFmtId="0" fontId="9" fillId="0" borderId="9" xfId="0" applyFont="1" applyBorder="1" applyAlignment="1">
      <alignment horizontal="left" vertical="top" wrapText="1"/>
    </xf>
    <xf numFmtId="2" fontId="9" fillId="0" borderId="13" xfId="0" applyNumberFormat="1" applyFont="1" applyBorder="1" applyAlignment="1">
      <alignment horizontal="left" vertical="top" wrapText="1"/>
    </xf>
    <xf numFmtId="2" fontId="9" fillId="0" borderId="14" xfId="0" applyNumberFormat="1" applyFont="1" applyBorder="1" applyAlignment="1">
      <alignment horizontal="left" vertical="top" wrapText="1"/>
    </xf>
    <xf numFmtId="0" fontId="1" fillId="0" borderId="9" xfId="0" applyFont="1" applyBorder="1" applyAlignment="1">
      <alignment horizontal="left" vertical="top" wrapText="1"/>
    </xf>
    <xf numFmtId="0" fontId="1" fillId="0" borderId="0" xfId="0" applyFont="1" applyBorder="1" applyAlignment="1">
      <alignment horizontal="left" vertical="top" wrapText="1"/>
    </xf>
    <xf numFmtId="0" fontId="8" fillId="0" borderId="0" xfId="0" applyFont="1" applyBorder="1" applyAlignment="1">
      <alignment horizontal="left" vertical="top" wrapText="1"/>
    </xf>
    <xf numFmtId="1" fontId="8" fillId="0" borderId="9" xfId="0" applyNumberFormat="1" applyFont="1" applyBorder="1" applyAlignment="1">
      <alignment horizontal="center" vertical="top" wrapText="1"/>
    </xf>
    <xf numFmtId="1" fontId="8" fillId="0" borderId="0" xfId="0" applyNumberFormat="1" applyFont="1" applyBorder="1" applyAlignment="1">
      <alignment horizontal="center" vertical="top" wrapText="1"/>
    </xf>
    <xf numFmtId="1" fontId="8" fillId="0" borderId="9" xfId="0" applyNumberFormat="1" applyFont="1" applyBorder="1" applyAlignment="1">
      <alignment horizontal="left" vertical="top" wrapText="1"/>
    </xf>
    <xf numFmtId="1" fontId="8" fillId="0" borderId="0" xfId="0" applyNumberFormat="1" applyFont="1" applyBorder="1" applyAlignment="1">
      <alignment horizontal="left" vertical="top" wrapText="1"/>
    </xf>
    <xf numFmtId="2" fontId="7" fillId="0" borderId="9" xfId="0" applyNumberFormat="1" applyFont="1" applyBorder="1" applyAlignment="1">
      <alignment horizontal="center" vertical="top" wrapText="1"/>
    </xf>
    <xf numFmtId="2" fontId="7" fillId="0" borderId="0" xfId="0" applyNumberFormat="1" applyFont="1" applyBorder="1" applyAlignment="1">
      <alignment horizontal="center" vertical="top" wrapText="1"/>
    </xf>
    <xf numFmtId="2" fontId="7" fillId="0" borderId="12" xfId="0" applyNumberFormat="1" applyFont="1" applyBorder="1" applyAlignment="1">
      <alignment horizontal="center" vertical="top" wrapText="1"/>
    </xf>
    <xf numFmtId="0" fontId="1" fillId="0" borderId="7" xfId="0" applyFont="1" applyBorder="1" applyAlignment="1">
      <alignment horizontal="left" vertical="top" wrapText="1"/>
    </xf>
    <xf numFmtId="0" fontId="1" fillId="0" borderId="8" xfId="0" applyFont="1" applyBorder="1" applyAlignment="1">
      <alignment horizontal="left" vertical="top" wrapText="1"/>
    </xf>
    <xf numFmtId="0" fontId="9" fillId="0" borderId="8" xfId="0" applyFont="1" applyBorder="1" applyAlignment="1">
      <alignment horizontal="center" vertical="top" wrapText="1"/>
    </xf>
    <xf numFmtId="0" fontId="9" fillId="0" borderId="8" xfId="0" applyFont="1" applyBorder="1" applyAlignment="1">
      <alignment horizontal="left" vertical="top" wrapText="1"/>
    </xf>
    <xf numFmtId="0" fontId="9" fillId="0" borderId="7" xfId="0" applyFont="1" applyBorder="1" applyAlignment="1">
      <alignment horizontal="center" vertical="top" wrapText="1"/>
    </xf>
    <xf numFmtId="0" fontId="8" fillId="0" borderId="13" xfId="0" applyFont="1" applyBorder="1" applyAlignment="1">
      <alignment horizontal="justify" vertical="top" wrapText="1"/>
    </xf>
    <xf numFmtId="0" fontId="8" fillId="0" borderId="9" xfId="0" applyFont="1" applyBorder="1" applyAlignment="1">
      <alignment horizontal="justify" vertical="top" wrapText="1"/>
    </xf>
    <xf numFmtId="0" fontId="9" fillId="0" borderId="9" xfId="0" applyFont="1" applyBorder="1" applyAlignment="1">
      <alignment horizontal="center" vertical="top" wrapText="1"/>
    </xf>
    <xf numFmtId="0" fontId="27" fillId="0" borderId="0" xfId="0" applyFont="1" applyBorder="1" applyAlignment="1">
      <alignment horizontal="center" vertical="top" wrapText="1"/>
    </xf>
    <xf numFmtId="2" fontId="8" fillId="0" borderId="13" xfId="0" applyNumberFormat="1" applyFont="1" applyBorder="1" applyAlignment="1">
      <alignment horizontal="left" vertical="top" wrapText="1"/>
    </xf>
    <xf numFmtId="2" fontId="8" fillId="0" borderId="14" xfId="0" applyNumberFormat="1" applyFont="1" applyBorder="1" applyAlignment="1">
      <alignment horizontal="left" vertical="top" wrapText="1"/>
    </xf>
    <xf numFmtId="0" fontId="9" fillId="0" borderId="0" xfId="0" applyFont="1" applyBorder="1" applyAlignment="1">
      <alignment horizontal="left" vertical="top" wrapText="1"/>
    </xf>
    <xf numFmtId="0" fontId="25" fillId="0" borderId="7" xfId="0" applyFont="1" applyBorder="1" applyAlignment="1">
      <alignment horizontal="left" vertical="top" wrapText="1"/>
    </xf>
    <xf numFmtId="0" fontId="25" fillId="0" borderId="8" xfId="0" applyFont="1" applyBorder="1" applyAlignment="1">
      <alignment horizontal="left" vertical="top" wrapText="1"/>
    </xf>
    <xf numFmtId="0" fontId="9" fillId="0" borderId="9" xfId="0" applyFont="1" applyBorder="1" applyAlignment="1">
      <alignment horizontal="justify" vertical="top" wrapText="1"/>
    </xf>
    <xf numFmtId="0" fontId="9" fillId="0" borderId="13" xfId="0" applyFont="1" applyBorder="1" applyAlignment="1">
      <alignment horizontal="center" vertical="top" wrapText="1"/>
    </xf>
    <xf numFmtId="0" fontId="13" fillId="0" borderId="3" xfId="0" applyFont="1" applyBorder="1" applyAlignment="1">
      <alignment horizontal="justify" vertical="top" wrapText="1"/>
    </xf>
    <xf numFmtId="0" fontId="13" fillId="0" borderId="4" xfId="0" applyFont="1" applyBorder="1" applyAlignment="1">
      <alignment horizontal="justify" vertical="top" wrapText="1"/>
    </xf>
    <xf numFmtId="0" fontId="13" fillId="0" borderId="5" xfId="0" applyFont="1" applyBorder="1" applyAlignment="1">
      <alignment horizontal="justify" vertical="top" wrapText="1"/>
    </xf>
    <xf numFmtId="0" fontId="6" fillId="0" borderId="3" xfId="0" applyFont="1" applyBorder="1" applyAlignment="1">
      <alignment horizontal="center" vertical="top" wrapText="1"/>
    </xf>
    <xf numFmtId="0" fontId="6" fillId="0" borderId="5" xfId="0" applyFont="1" applyBorder="1" applyAlignment="1">
      <alignment horizontal="center" vertical="top" wrapText="1"/>
    </xf>
    <xf numFmtId="0" fontId="7" fillId="0" borderId="14" xfId="0" applyFont="1" applyBorder="1" applyAlignment="1">
      <alignment horizontal="center" vertical="top" wrapText="1"/>
    </xf>
    <xf numFmtId="0" fontId="7" fillId="0" borderId="15" xfId="0" applyFont="1" applyBorder="1" applyAlignment="1">
      <alignment horizontal="center" vertical="top" wrapText="1"/>
    </xf>
    <xf numFmtId="0" fontId="7" fillId="0" borderId="7" xfId="0" applyFont="1" applyBorder="1" applyAlignment="1">
      <alignment horizontal="center" vertical="top" wrapText="1"/>
    </xf>
    <xf numFmtId="0" fontId="7" fillId="0" borderId="2" xfId="0" applyFont="1" applyBorder="1" applyAlignment="1">
      <alignment horizontal="center" vertical="top" wrapText="1"/>
    </xf>
    <xf numFmtId="2" fontId="9" fillId="0" borderId="13" xfId="0" applyNumberFormat="1" applyFont="1" applyBorder="1" applyAlignment="1">
      <alignment horizontal="center" vertical="top" wrapText="1"/>
    </xf>
    <xf numFmtId="2" fontId="9" fillId="0" borderId="14" xfId="0" applyNumberFormat="1" applyFont="1" applyBorder="1" applyAlignment="1">
      <alignment horizontal="center" vertical="top" wrapText="1"/>
    </xf>
    <xf numFmtId="2" fontId="9" fillId="0" borderId="9" xfId="0" applyNumberFormat="1" applyFont="1" applyBorder="1" applyAlignment="1">
      <alignment horizontal="right" vertical="top" wrapText="1"/>
    </xf>
    <xf numFmtId="2" fontId="9" fillId="0" borderId="0" xfId="0" applyNumberFormat="1" applyFont="1" applyBorder="1" applyAlignment="1">
      <alignment horizontal="right" vertical="top" wrapText="1"/>
    </xf>
    <xf numFmtId="0" fontId="9" fillId="0" borderId="6" xfId="0" applyFont="1" applyBorder="1" applyAlignment="1">
      <alignment horizontal="center" vertical="top" wrapText="1"/>
    </xf>
    <xf numFmtId="0" fontId="9" fillId="0" borderId="10" xfId="0" applyFont="1" applyBorder="1" applyAlignment="1">
      <alignment horizontal="left" vertical="top" wrapText="1"/>
    </xf>
    <xf numFmtId="0" fontId="9" fillId="0" borderId="7" xfId="0" applyFont="1" applyBorder="1" applyAlignment="1">
      <alignment horizontal="left" vertical="top" wrapText="1"/>
    </xf>
    <xf numFmtId="0" fontId="9" fillId="0" borderId="6" xfId="0" applyFont="1" applyBorder="1" applyAlignment="1">
      <alignment horizontal="left" vertical="top" wrapText="1"/>
    </xf>
    <xf numFmtId="0" fontId="28" fillId="0" borderId="7" xfId="0" applyFont="1" applyBorder="1" applyAlignment="1">
      <alignment horizontal="left" vertical="top" wrapText="1"/>
    </xf>
    <xf numFmtId="0" fontId="28" fillId="0" borderId="8" xfId="0" applyFont="1" applyBorder="1" applyAlignment="1">
      <alignment horizontal="left" vertical="top" wrapText="1"/>
    </xf>
    <xf numFmtId="2" fontId="8" fillId="0" borderId="10" xfId="0" applyNumberFormat="1" applyFont="1" applyBorder="1" applyAlignment="1">
      <alignment horizontal="left" vertical="top" wrapText="1"/>
    </xf>
    <xf numFmtId="2" fontId="8" fillId="0" borderId="1" xfId="0" applyNumberFormat="1" applyFont="1" applyBorder="1" applyAlignment="1">
      <alignment horizontal="left" vertical="top" wrapText="1"/>
    </xf>
    <xf numFmtId="0" fontId="27" fillId="0" borderId="7" xfId="0" applyFont="1" applyBorder="1" applyAlignment="1">
      <alignment horizontal="left" vertical="top" wrapText="1"/>
    </xf>
    <xf numFmtId="0" fontId="27" fillId="0" borderId="8" xfId="0" applyFont="1" applyBorder="1" applyAlignment="1">
      <alignment horizontal="left" vertical="top" wrapText="1"/>
    </xf>
    <xf numFmtId="2" fontId="14" fillId="0" borderId="0" xfId="0" applyNumberFormat="1" applyFont="1" applyBorder="1" applyAlignment="1">
      <alignment horizontal="center" vertical="top" wrapText="1"/>
    </xf>
    <xf numFmtId="2" fontId="8" fillId="0" borderId="1" xfId="0" applyNumberFormat="1" applyFont="1" applyBorder="1" applyAlignment="1">
      <alignment horizontal="center" vertical="top" wrapText="1"/>
    </xf>
    <xf numFmtId="0" fontId="25" fillId="0" borderId="6" xfId="0" applyFont="1" applyBorder="1" applyAlignment="1">
      <alignment horizontal="left" vertical="top" wrapText="1"/>
    </xf>
    <xf numFmtId="0" fontId="25" fillId="0" borderId="7" xfId="0" applyFont="1" applyBorder="1" applyAlignment="1">
      <alignment horizontal="center" vertical="top" wrapText="1"/>
    </xf>
    <xf numFmtId="0" fontId="25" fillId="0" borderId="8" xfId="0" applyFont="1" applyBorder="1" applyAlignment="1">
      <alignment horizontal="center" vertical="top" wrapText="1"/>
    </xf>
    <xf numFmtId="0" fontId="25" fillId="0" borderId="6" xfId="0" applyFont="1" applyBorder="1" applyAlignment="1">
      <alignment horizontal="center" vertical="top" wrapText="1"/>
    </xf>
    <xf numFmtId="0" fontId="25" fillId="0" borderId="13" xfId="0" applyFont="1" applyBorder="1" applyAlignment="1">
      <alignment horizontal="left" vertical="top" wrapText="1"/>
    </xf>
    <xf numFmtId="0" fontId="25" fillId="0" borderId="9" xfId="0" applyFont="1" applyBorder="1" applyAlignment="1">
      <alignment horizontal="left" vertical="top" wrapText="1"/>
    </xf>
    <xf numFmtId="0" fontId="25" fillId="0" borderId="13" xfId="0" applyFont="1" applyBorder="1" applyAlignment="1">
      <alignment horizontal="center" vertical="top" wrapText="1"/>
    </xf>
    <xf numFmtId="0" fontId="25" fillId="0" borderId="9" xfId="0" applyFont="1" applyBorder="1" applyAlignment="1">
      <alignment horizontal="center" vertical="top" wrapText="1"/>
    </xf>
    <xf numFmtId="0" fontId="1" fillId="0" borderId="7" xfId="0" applyFont="1" applyBorder="1" applyAlignment="1">
      <alignment horizontal="center" vertical="top" wrapText="1"/>
    </xf>
    <xf numFmtId="0" fontId="1" fillId="0" borderId="8" xfId="0" applyFont="1" applyBorder="1" applyAlignment="1">
      <alignment horizontal="center" vertical="top" wrapText="1"/>
    </xf>
    <xf numFmtId="2" fontId="31" fillId="0" borderId="0" xfId="0" applyNumberFormat="1" applyFont="1" applyBorder="1" applyAlignment="1">
      <alignment horizontal="center"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095060844667172"/>
          <c:y val="3.8200436213078996E-2"/>
          <c:w val="0.84583829272033861"/>
          <c:h val="0.84649542200541938"/>
        </c:manualLayout>
      </c:layout>
      <c:scatterChart>
        <c:scatterStyle val="lineMarker"/>
        <c:varyColors val="0"/>
        <c:ser>
          <c:idx val="0"/>
          <c:order val="0"/>
          <c:xVal>
            <c:numRef>
              <c:f>'EARTH CALCULATION'!$A$5:$A$11</c:f>
              <c:numCache>
                <c:formatCode>0.00</c:formatCode>
                <c:ptCount val="7"/>
                <c:pt idx="0">
                  <c:v>10</c:v>
                </c:pt>
                <c:pt idx="1">
                  <c:v>12</c:v>
                </c:pt>
                <c:pt idx="2">
                  <c:v>14</c:v>
                </c:pt>
                <c:pt idx="3">
                  <c:v>17</c:v>
                </c:pt>
                <c:pt idx="4">
                  <c:v>20</c:v>
                </c:pt>
                <c:pt idx="5">
                  <c:v>22</c:v>
                </c:pt>
                <c:pt idx="6">
                  <c:v>24</c:v>
                </c:pt>
              </c:numCache>
            </c:numRef>
          </c:xVal>
          <c:yVal>
            <c:numRef>
              <c:f>'EARTH CALCULATION'!$B$5:$B$11</c:f>
              <c:numCache>
                <c:formatCode>0.00</c:formatCode>
                <c:ptCount val="7"/>
                <c:pt idx="0">
                  <c:v>2.5499999999999998</c:v>
                </c:pt>
                <c:pt idx="1">
                  <c:v>1.57</c:v>
                </c:pt>
                <c:pt idx="2">
                  <c:v>1.26</c:v>
                </c:pt>
                <c:pt idx="3">
                  <c:v>1.1100000000000001</c:v>
                </c:pt>
                <c:pt idx="4">
                  <c:v>0.82</c:v>
                </c:pt>
                <c:pt idx="5">
                  <c:v>0.5</c:v>
                </c:pt>
                <c:pt idx="6">
                  <c:v>0.11</c:v>
                </c:pt>
              </c:numCache>
            </c:numRef>
          </c:yVal>
          <c:smooth val="0"/>
          <c:extLst>
            <c:ext xmlns:c16="http://schemas.microsoft.com/office/drawing/2014/chart" uri="{C3380CC4-5D6E-409C-BE32-E72D297353CC}">
              <c16:uniqueId val="{00000000-48B9-473D-8C14-8F8E07AF0F39}"/>
            </c:ext>
          </c:extLst>
        </c:ser>
        <c:ser>
          <c:idx val="1"/>
          <c:order val="1"/>
          <c:xVal>
            <c:numRef>
              <c:f>'EARTH CALCULATION'!$H$5:$H$8</c:f>
              <c:numCache>
                <c:formatCode>0.00</c:formatCode>
                <c:ptCount val="4"/>
                <c:pt idx="0">
                  <c:v>10</c:v>
                </c:pt>
                <c:pt idx="1">
                  <c:v>24</c:v>
                </c:pt>
              </c:numCache>
            </c:numRef>
          </c:xVal>
          <c:yVal>
            <c:numRef>
              <c:f>'EARTH CALCULATION'!$I$5:$I$8</c:f>
              <c:numCache>
                <c:formatCode>0.00</c:formatCode>
                <c:ptCount val="4"/>
                <c:pt idx="0">
                  <c:v>2.5499999999999998</c:v>
                </c:pt>
                <c:pt idx="1">
                  <c:v>-0.5</c:v>
                </c:pt>
              </c:numCache>
            </c:numRef>
          </c:yVal>
          <c:smooth val="0"/>
          <c:extLst>
            <c:ext xmlns:c16="http://schemas.microsoft.com/office/drawing/2014/chart" uri="{C3380CC4-5D6E-409C-BE32-E72D297353CC}">
              <c16:uniqueId val="{00000001-48B9-473D-8C14-8F8E07AF0F39}"/>
            </c:ext>
          </c:extLst>
        </c:ser>
        <c:dLbls>
          <c:showLegendKey val="0"/>
          <c:showVal val="0"/>
          <c:showCatName val="0"/>
          <c:showSerName val="0"/>
          <c:showPercent val="0"/>
          <c:showBubbleSize val="0"/>
        </c:dLbls>
        <c:axId val="197179648"/>
        <c:axId val="197181440"/>
      </c:scatterChart>
      <c:valAx>
        <c:axId val="197179648"/>
        <c:scaling>
          <c:orientation val="minMax"/>
          <c:max val="12.5"/>
        </c:scaling>
        <c:delete val="0"/>
        <c:axPos val="b"/>
        <c:numFmt formatCode="0.00" sourceLinked="1"/>
        <c:majorTickMark val="out"/>
        <c:minorTickMark val="none"/>
        <c:tickLblPos val="nextTo"/>
        <c:crossAx val="197181440"/>
        <c:crosses val="autoZero"/>
        <c:crossBetween val="midCat"/>
        <c:majorUnit val="2"/>
      </c:valAx>
      <c:valAx>
        <c:axId val="197181440"/>
        <c:scaling>
          <c:orientation val="minMax"/>
          <c:max val="5"/>
        </c:scaling>
        <c:delete val="0"/>
        <c:axPos val="l"/>
        <c:majorGridlines/>
        <c:numFmt formatCode="0.00" sourceLinked="1"/>
        <c:majorTickMark val="out"/>
        <c:minorTickMark val="none"/>
        <c:tickLblPos val="nextTo"/>
        <c:crossAx val="197179648"/>
        <c:crosses val="autoZero"/>
        <c:crossBetween val="midCat"/>
      </c:valAx>
    </c:plotArea>
    <c:plotVisOnly val="1"/>
    <c:dispBlanksAs val="gap"/>
    <c:showDLblsOverMax val="0"/>
  </c:chart>
  <c:printSettings>
    <c:headerFooter/>
    <c:pageMargins b="0.75000000000000744" l="0.70000000000000062" r="0.70000000000000062" t="0.75000000000000744"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095060844667172"/>
          <c:y val="3.8200436213078996E-2"/>
          <c:w val="0.84583829272033861"/>
          <c:h val="0.84649542200541994"/>
        </c:manualLayout>
      </c:layout>
      <c:scatterChart>
        <c:scatterStyle val="lineMarker"/>
        <c:varyColors val="0"/>
        <c:ser>
          <c:idx val="0"/>
          <c:order val="0"/>
          <c:xVal>
            <c:numRef>
              <c:f>'EARTH CALCULATION'!$A$101:$A$104</c:f>
              <c:numCache>
                <c:formatCode>0.00</c:formatCode>
                <c:ptCount val="4"/>
                <c:pt idx="0">
                  <c:v>0</c:v>
                </c:pt>
                <c:pt idx="1">
                  <c:v>0.6</c:v>
                </c:pt>
                <c:pt idx="2">
                  <c:v>1.2</c:v>
                </c:pt>
                <c:pt idx="3">
                  <c:v>15</c:v>
                </c:pt>
              </c:numCache>
            </c:numRef>
          </c:xVal>
          <c:yVal>
            <c:numRef>
              <c:f>'EARTH CALCULATION'!$B$101:$B$104</c:f>
              <c:numCache>
                <c:formatCode>0.00</c:formatCode>
                <c:ptCount val="4"/>
                <c:pt idx="0">
                  <c:v>2</c:v>
                </c:pt>
                <c:pt idx="1">
                  <c:v>1.5</c:v>
                </c:pt>
                <c:pt idx="2">
                  <c:v>1.4</c:v>
                </c:pt>
                <c:pt idx="3">
                  <c:v>0</c:v>
                </c:pt>
              </c:numCache>
            </c:numRef>
          </c:yVal>
          <c:smooth val="0"/>
          <c:extLst>
            <c:ext xmlns:c16="http://schemas.microsoft.com/office/drawing/2014/chart" uri="{C3380CC4-5D6E-409C-BE32-E72D297353CC}">
              <c16:uniqueId val="{00000000-D2A5-44C3-AB9B-6FBD1C4A3F85}"/>
            </c:ext>
          </c:extLst>
        </c:ser>
        <c:ser>
          <c:idx val="1"/>
          <c:order val="1"/>
          <c:xVal>
            <c:numRef>
              <c:f>'EARTH CALCULATION'!$H$101:$H$104</c:f>
              <c:numCache>
                <c:formatCode>0.00</c:formatCode>
                <c:ptCount val="4"/>
                <c:pt idx="0">
                  <c:v>0</c:v>
                </c:pt>
                <c:pt idx="1">
                  <c:v>3</c:v>
                </c:pt>
                <c:pt idx="2">
                  <c:v>7</c:v>
                </c:pt>
                <c:pt idx="3">
                  <c:v>15</c:v>
                </c:pt>
              </c:numCache>
            </c:numRef>
          </c:xVal>
          <c:yVal>
            <c:numRef>
              <c:f>'EARTH CALCULATION'!$I$101:$I$104</c:f>
              <c:numCache>
                <c:formatCode>0.00</c:formatCode>
                <c:ptCount val="4"/>
                <c:pt idx="0">
                  <c:v>2</c:v>
                </c:pt>
                <c:pt idx="1">
                  <c:v>4</c:v>
                </c:pt>
                <c:pt idx="2">
                  <c:v>4</c:v>
                </c:pt>
                <c:pt idx="3">
                  <c:v>0</c:v>
                </c:pt>
              </c:numCache>
            </c:numRef>
          </c:yVal>
          <c:smooth val="0"/>
          <c:extLst>
            <c:ext xmlns:c16="http://schemas.microsoft.com/office/drawing/2014/chart" uri="{C3380CC4-5D6E-409C-BE32-E72D297353CC}">
              <c16:uniqueId val="{00000001-D2A5-44C3-AB9B-6FBD1C4A3F85}"/>
            </c:ext>
          </c:extLst>
        </c:ser>
        <c:dLbls>
          <c:showLegendKey val="0"/>
          <c:showVal val="0"/>
          <c:showCatName val="0"/>
          <c:showSerName val="0"/>
          <c:showPercent val="0"/>
          <c:showBubbleSize val="0"/>
        </c:dLbls>
        <c:axId val="197743360"/>
        <c:axId val="197744896"/>
      </c:scatterChart>
      <c:valAx>
        <c:axId val="197743360"/>
        <c:scaling>
          <c:orientation val="minMax"/>
          <c:max val="15"/>
        </c:scaling>
        <c:delete val="0"/>
        <c:axPos val="b"/>
        <c:numFmt formatCode="0.00" sourceLinked="1"/>
        <c:majorTickMark val="out"/>
        <c:minorTickMark val="none"/>
        <c:tickLblPos val="nextTo"/>
        <c:crossAx val="197744896"/>
        <c:crosses val="autoZero"/>
        <c:crossBetween val="midCat"/>
        <c:majorUnit val="2"/>
      </c:valAx>
      <c:valAx>
        <c:axId val="197744896"/>
        <c:scaling>
          <c:orientation val="minMax"/>
          <c:max val="5"/>
        </c:scaling>
        <c:delete val="0"/>
        <c:axPos val="l"/>
        <c:majorGridlines/>
        <c:numFmt formatCode="0.00" sourceLinked="1"/>
        <c:majorTickMark val="out"/>
        <c:minorTickMark val="none"/>
        <c:tickLblPos val="nextTo"/>
        <c:crossAx val="197743360"/>
        <c:crosses val="autoZero"/>
        <c:crossBetween val="midCat"/>
      </c:valAx>
    </c:plotArea>
    <c:plotVisOnly val="1"/>
    <c:dispBlanksAs val="gap"/>
    <c:showDLblsOverMax val="0"/>
  </c:chart>
  <c:printSettings>
    <c:headerFooter/>
    <c:pageMargins b="0.75000000000000788" l="0.70000000000000062" r="0.70000000000000062" t="0.75000000000000788"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285751</xdr:colOff>
      <xdr:row>358</xdr:row>
      <xdr:rowOff>9525</xdr:rowOff>
    </xdr:from>
    <xdr:to>
      <xdr:col>7</xdr:col>
      <xdr:colOff>226219</xdr:colOff>
      <xdr:row>362</xdr:row>
      <xdr:rowOff>83344</xdr:rowOff>
    </xdr:to>
    <xdr:sp macro="" textlink="">
      <xdr:nvSpPr>
        <xdr:cNvPr id="10" name="Text Box 76">
          <a:extLst>
            <a:ext uri="{FF2B5EF4-FFF2-40B4-BE49-F238E27FC236}">
              <a16:creationId xmlns:a16="http://schemas.microsoft.com/office/drawing/2014/main" id="{00000000-0008-0000-0000-00000A000000}"/>
            </a:ext>
          </a:extLst>
        </xdr:cNvPr>
        <xdr:cNvSpPr txBox="1">
          <a:spLocks noChangeArrowheads="1"/>
        </xdr:cNvSpPr>
      </xdr:nvSpPr>
      <xdr:spPr bwMode="auto">
        <a:xfrm>
          <a:off x="1833564" y="37633275"/>
          <a:ext cx="2047874" cy="835819"/>
        </a:xfrm>
        <a:prstGeom prst="rect">
          <a:avLst/>
        </a:prstGeom>
        <a:noFill/>
        <a:ln w="9525">
          <a:noFill/>
          <a:miter lim="800000"/>
          <a:headEnd/>
          <a:tailEnd/>
        </a:ln>
      </xdr:spPr>
      <xdr:txBody>
        <a:bodyPr vertOverflow="clip" wrap="square" lIns="27432" tIns="22860" rIns="27432" bIns="0" anchor="t" upright="1"/>
        <a:lstStyle/>
        <a:p>
          <a:pPr algn="ctr" rtl="1">
            <a:defRPr sz="1000"/>
          </a:pPr>
          <a:r>
            <a:rPr lang="en-US" sz="1100" b="0" i="0" strike="noStrike">
              <a:solidFill>
                <a:srgbClr val="000000"/>
              </a:solidFill>
              <a:latin typeface="Arial"/>
              <a:cs typeface="Arial"/>
            </a:rPr>
            <a:t>(S.M. Ahsan Habib)</a:t>
          </a:r>
        </a:p>
        <a:p>
          <a:pPr algn="ctr" rtl="1">
            <a:defRPr sz="1000"/>
          </a:pPr>
          <a:r>
            <a:rPr lang="en-US" sz="1100" b="0" i="0" strike="noStrike">
              <a:solidFill>
                <a:srgbClr val="000000"/>
              </a:solidFill>
              <a:latin typeface="Arial"/>
              <a:cs typeface="Arial"/>
            </a:rPr>
            <a:t>Sub- Divisional Engineer (A.C)</a:t>
          </a:r>
        </a:p>
        <a:p>
          <a:pPr algn="ctr" rtl="1">
            <a:defRPr sz="1000"/>
          </a:pPr>
          <a:r>
            <a:rPr lang="en-US" sz="1100" b="0" i="0" strike="noStrike">
              <a:solidFill>
                <a:srgbClr val="000000"/>
              </a:solidFill>
              <a:latin typeface="Arial"/>
              <a:cs typeface="Arial"/>
            </a:rPr>
            <a:t>Satkhira O&amp;M Sub-Division-1</a:t>
          </a:r>
        </a:p>
        <a:p>
          <a:pPr algn="ctr" rtl="1">
            <a:defRPr sz="1000"/>
          </a:pPr>
          <a:r>
            <a:rPr lang="en-US" sz="1100" b="0" i="0" strike="noStrike">
              <a:solidFill>
                <a:srgbClr val="000000"/>
              </a:solidFill>
              <a:latin typeface="Arial"/>
              <a:cs typeface="Arial"/>
            </a:rPr>
            <a:t>BWDB, Satkhira</a:t>
          </a:r>
          <a:endParaRPr lang="en-US" sz="1000" b="0" i="0" strike="noStrike">
            <a:solidFill>
              <a:srgbClr val="000000"/>
            </a:solidFill>
            <a:latin typeface="Arial"/>
            <a:cs typeface="Arial"/>
          </a:endParaRPr>
        </a:p>
        <a:p>
          <a:pPr algn="ctr" rtl="1">
            <a:defRPr sz="1000"/>
          </a:pPr>
          <a:endParaRPr lang="en-US" sz="1000" b="0" i="0" strike="noStrike">
            <a:solidFill>
              <a:srgbClr val="000000"/>
            </a:solidFill>
            <a:latin typeface="Arial"/>
            <a:cs typeface="Arial"/>
          </a:endParaRPr>
        </a:p>
      </xdr:txBody>
    </xdr:sp>
    <xdr:clientData/>
  </xdr:twoCellAnchor>
  <xdr:twoCellAnchor>
    <xdr:from>
      <xdr:col>7</xdr:col>
      <xdr:colOff>190501</xdr:colOff>
      <xdr:row>358</xdr:row>
      <xdr:rowOff>35718</xdr:rowOff>
    </xdr:from>
    <xdr:to>
      <xdr:col>12</xdr:col>
      <xdr:colOff>130970</xdr:colOff>
      <xdr:row>362</xdr:row>
      <xdr:rowOff>107157</xdr:rowOff>
    </xdr:to>
    <xdr:sp macro="" textlink="">
      <xdr:nvSpPr>
        <xdr:cNvPr id="11" name="Text Box 77">
          <a:extLst>
            <a:ext uri="{FF2B5EF4-FFF2-40B4-BE49-F238E27FC236}">
              <a16:creationId xmlns:a16="http://schemas.microsoft.com/office/drawing/2014/main" id="{00000000-0008-0000-0000-00000B000000}"/>
            </a:ext>
          </a:extLst>
        </xdr:cNvPr>
        <xdr:cNvSpPr txBox="1">
          <a:spLocks noChangeArrowheads="1"/>
        </xdr:cNvSpPr>
      </xdr:nvSpPr>
      <xdr:spPr bwMode="auto">
        <a:xfrm>
          <a:off x="3845720" y="37659468"/>
          <a:ext cx="2000250" cy="833439"/>
        </a:xfrm>
        <a:prstGeom prst="rect">
          <a:avLst/>
        </a:prstGeom>
        <a:noFill/>
        <a:ln w="9525">
          <a:noFill/>
          <a:miter lim="800000"/>
          <a:headEnd/>
          <a:tailEnd/>
        </a:ln>
      </xdr:spPr>
      <xdr:txBody>
        <a:bodyPr vertOverflow="clip" wrap="square" lIns="27432" tIns="22860" rIns="27432" bIns="0" anchor="t" upright="1"/>
        <a:lstStyle/>
        <a:p>
          <a:pPr algn="ctr" rtl="1">
            <a:defRPr sz="1000"/>
          </a:pPr>
          <a:r>
            <a:rPr lang="en-US" sz="1100" b="0" i="0" strike="noStrike">
              <a:solidFill>
                <a:srgbClr val="000000"/>
              </a:solidFill>
              <a:latin typeface="Arial"/>
              <a:cs typeface="Arial"/>
            </a:rPr>
            <a:t>(Muhammad Abu Hanif)</a:t>
          </a:r>
        </a:p>
        <a:p>
          <a:pPr algn="ctr" rtl="1">
            <a:defRPr sz="1000"/>
          </a:pPr>
          <a:r>
            <a:rPr lang="en-US" sz="1100" b="0" i="0" strike="noStrike">
              <a:solidFill>
                <a:srgbClr val="000000"/>
              </a:solidFill>
              <a:latin typeface="Arial"/>
              <a:cs typeface="Arial"/>
            </a:rPr>
            <a:t> Sub-Asstt. Engineer</a:t>
          </a:r>
        </a:p>
        <a:p>
          <a:pPr algn="ctr" rtl="1">
            <a:defRPr sz="1000"/>
          </a:pPr>
          <a:r>
            <a:rPr lang="en-US" sz="1100" b="0" i="0" strike="noStrike">
              <a:solidFill>
                <a:srgbClr val="000000"/>
              </a:solidFill>
              <a:latin typeface="Arial"/>
              <a:cs typeface="Arial"/>
            </a:rPr>
            <a:t>Parulia O&amp;M Section</a:t>
          </a:r>
        </a:p>
        <a:p>
          <a:pPr algn="ctr" rtl="1">
            <a:defRPr sz="1000"/>
          </a:pPr>
          <a:r>
            <a:rPr lang="en-US" sz="1100" b="0" i="0" strike="noStrike">
              <a:solidFill>
                <a:srgbClr val="000000"/>
              </a:solidFill>
              <a:latin typeface="Arial"/>
              <a:cs typeface="Arial"/>
            </a:rPr>
            <a:t>BWDB, Satkhira.</a:t>
          </a:r>
          <a:endParaRPr lang="en-US" sz="1000" b="0" i="0" strike="noStrike">
            <a:solidFill>
              <a:srgbClr val="000000"/>
            </a:solidFill>
            <a:latin typeface="Arial"/>
            <a:cs typeface="Arial"/>
          </a:endParaRPr>
        </a:p>
        <a:p>
          <a:pPr algn="ctr" rtl="1">
            <a:defRPr sz="1000"/>
          </a:pPr>
          <a:endParaRPr lang="en-US" sz="1000" b="0" i="0" strike="noStrike">
            <a:solidFill>
              <a:srgbClr val="000000"/>
            </a:solidFill>
            <a:latin typeface="Arial"/>
            <a:cs typeface="Arial"/>
          </a:endParaRPr>
        </a:p>
      </xdr:txBody>
    </xdr:sp>
    <xdr:clientData/>
  </xdr:twoCellAnchor>
  <xdr:twoCellAnchor>
    <xdr:from>
      <xdr:col>0</xdr:col>
      <xdr:colOff>66675</xdr:colOff>
      <xdr:row>358</xdr:row>
      <xdr:rowOff>28574</xdr:rowOff>
    </xdr:from>
    <xdr:to>
      <xdr:col>3</xdr:col>
      <xdr:colOff>464344</xdr:colOff>
      <xdr:row>363</xdr:row>
      <xdr:rowOff>83343</xdr:rowOff>
    </xdr:to>
    <xdr:sp macro="" textlink="">
      <xdr:nvSpPr>
        <xdr:cNvPr id="12" name="Text Box 79">
          <a:extLst>
            <a:ext uri="{FF2B5EF4-FFF2-40B4-BE49-F238E27FC236}">
              <a16:creationId xmlns:a16="http://schemas.microsoft.com/office/drawing/2014/main" id="{00000000-0008-0000-0000-00000C000000}"/>
            </a:ext>
          </a:extLst>
        </xdr:cNvPr>
        <xdr:cNvSpPr txBox="1">
          <a:spLocks noChangeArrowheads="1"/>
        </xdr:cNvSpPr>
      </xdr:nvSpPr>
      <xdr:spPr bwMode="auto">
        <a:xfrm>
          <a:off x="66675" y="37652324"/>
          <a:ext cx="1945482" cy="1007269"/>
        </a:xfrm>
        <a:prstGeom prst="rect">
          <a:avLst/>
        </a:prstGeom>
        <a:noFill/>
        <a:ln w="9525">
          <a:noFill/>
          <a:miter lim="800000"/>
          <a:headEnd/>
          <a:tailEnd/>
        </a:ln>
      </xdr:spPr>
      <xdr:txBody>
        <a:bodyPr vertOverflow="clip" wrap="square" lIns="27432" tIns="22860" rIns="27432" bIns="0" anchor="t" upright="1"/>
        <a:lstStyle/>
        <a:p>
          <a:pPr algn="ctr" rtl="1">
            <a:defRPr sz="1000"/>
          </a:pPr>
          <a:r>
            <a:rPr lang="en-US" sz="1100" b="0" i="0" strike="noStrike">
              <a:solidFill>
                <a:srgbClr val="000000"/>
              </a:solidFill>
              <a:latin typeface="Arial"/>
              <a:cs typeface="Arial"/>
            </a:rPr>
            <a:t>(B. M. Abdul Momin)                    </a:t>
          </a:r>
          <a:r>
            <a:rPr lang="en-US" sz="1100" b="0" i="0" strike="noStrike" baseline="0">
              <a:solidFill>
                <a:srgbClr val="000000"/>
              </a:solidFill>
              <a:latin typeface="Arial"/>
              <a:cs typeface="Arial"/>
            </a:rPr>
            <a:t> </a:t>
          </a:r>
          <a:r>
            <a:rPr lang="en-US" sz="1100" b="0" i="0" strike="noStrike">
              <a:solidFill>
                <a:srgbClr val="000000"/>
              </a:solidFill>
              <a:latin typeface="Arial"/>
              <a:cs typeface="Arial"/>
            </a:rPr>
            <a:t> Executive Engineer (C.C)</a:t>
          </a:r>
        </a:p>
        <a:p>
          <a:pPr algn="ctr" rtl="1">
            <a:defRPr sz="1000"/>
          </a:pPr>
          <a:r>
            <a:rPr lang="en-US" sz="1100" b="0" i="0" strike="noStrike">
              <a:solidFill>
                <a:srgbClr val="000000"/>
              </a:solidFill>
              <a:latin typeface="Arial"/>
              <a:cs typeface="Arial"/>
            </a:rPr>
            <a:t>Satkhira O&amp;M Division-1</a:t>
          </a:r>
        </a:p>
        <a:p>
          <a:pPr algn="ctr" rtl="1">
            <a:defRPr sz="1000"/>
          </a:pPr>
          <a:r>
            <a:rPr lang="en-US" sz="1100" b="0" i="0" strike="noStrike">
              <a:solidFill>
                <a:srgbClr val="000000"/>
              </a:solidFill>
              <a:latin typeface="Arial"/>
              <a:cs typeface="Arial"/>
            </a:rPr>
            <a:t>BWDB, Satkhira</a:t>
          </a:r>
          <a:endParaRPr lang="en-US" sz="1000" b="0" i="0" strike="noStrike">
            <a:solidFill>
              <a:srgbClr val="000000"/>
            </a:solidFill>
            <a:latin typeface="Arial"/>
            <a:cs typeface="Arial"/>
          </a:endParaRPr>
        </a:p>
        <a:p>
          <a:pPr algn="ctr" rtl="1">
            <a:defRPr sz="1000"/>
          </a:pPr>
          <a:endParaRPr lang="en-US" sz="1000" b="0" i="0" strike="noStrike">
            <a:solidFill>
              <a:srgbClr val="000000"/>
            </a:solidFill>
            <a:latin typeface="Arial"/>
            <a:cs typeface="Arial"/>
          </a:endParaRPr>
        </a:p>
      </xdr:txBody>
    </xdr:sp>
    <xdr:clientData/>
  </xdr:twoCellAnchor>
  <xdr:twoCellAnchor>
    <xdr:from>
      <xdr:col>1</xdr:col>
      <xdr:colOff>240030</xdr:colOff>
      <xdr:row>12</xdr:row>
      <xdr:rowOff>116205</xdr:rowOff>
    </xdr:from>
    <xdr:to>
      <xdr:col>9</xdr:col>
      <xdr:colOff>259080</xdr:colOff>
      <xdr:row>21</xdr:row>
      <xdr:rowOff>167640</xdr:rowOff>
    </xdr:to>
    <xdr:graphicFrame macro="">
      <xdr:nvGraphicFramePr>
        <xdr:cNvPr id="9" name="Chart 8">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295275</xdr:colOff>
      <xdr:row>195</xdr:row>
      <xdr:rowOff>152400</xdr:rowOff>
    </xdr:from>
    <xdr:to>
      <xdr:col>11</xdr:col>
      <xdr:colOff>182298</xdr:colOff>
      <xdr:row>199</xdr:row>
      <xdr:rowOff>215900</xdr:rowOff>
    </xdr:to>
    <xdr:sp macro="" textlink="">
      <xdr:nvSpPr>
        <xdr:cNvPr id="21" name="Text Box 77">
          <a:extLst>
            <a:ext uri="{FF2B5EF4-FFF2-40B4-BE49-F238E27FC236}">
              <a16:creationId xmlns:a16="http://schemas.microsoft.com/office/drawing/2014/main" id="{00000000-0008-0000-0000-000015000000}"/>
            </a:ext>
          </a:extLst>
        </xdr:cNvPr>
        <xdr:cNvSpPr txBox="1">
          <a:spLocks noChangeArrowheads="1"/>
        </xdr:cNvSpPr>
      </xdr:nvSpPr>
      <xdr:spPr bwMode="auto">
        <a:xfrm>
          <a:off x="3533775" y="27727275"/>
          <a:ext cx="1830123" cy="825500"/>
        </a:xfrm>
        <a:prstGeom prst="rect">
          <a:avLst/>
        </a:prstGeom>
        <a:noFill/>
        <a:ln w="9525">
          <a:noFill/>
          <a:miter lim="800000"/>
          <a:headEnd/>
          <a:tailEnd/>
        </a:ln>
      </xdr:spPr>
      <xdr:txBody>
        <a:bodyPr vertOverflow="clip" wrap="square" lIns="27432" tIns="22860" rIns="27432" bIns="0" anchor="t" upright="1"/>
        <a:lstStyle/>
        <a:p>
          <a:pPr algn="ctr" rtl="1">
            <a:lnSpc>
              <a:spcPts val="1200"/>
            </a:lnSpc>
          </a:pPr>
          <a:r>
            <a:rPr lang="en-US" sz="1100" b="0" i="0">
              <a:latin typeface="Times New Roman" pitchFamily="18" charset="0"/>
              <a:ea typeface="+mn-ea"/>
              <a:cs typeface="Times New Roman" pitchFamily="18" charset="0"/>
            </a:rPr>
            <a:t>(Muhammad Abu Hanif)</a:t>
          </a:r>
          <a:endParaRPr lang="en-US">
            <a:latin typeface="Times New Roman" pitchFamily="18" charset="0"/>
            <a:cs typeface="Times New Roman" pitchFamily="18" charset="0"/>
          </a:endParaRPr>
        </a:p>
        <a:p>
          <a:pPr algn="ctr" rtl="1">
            <a:lnSpc>
              <a:spcPts val="1200"/>
            </a:lnSpc>
          </a:pPr>
          <a:r>
            <a:rPr lang="en-US" sz="1100" b="0" i="0">
              <a:latin typeface="Times New Roman" pitchFamily="18" charset="0"/>
              <a:ea typeface="+mn-ea"/>
              <a:cs typeface="Times New Roman" pitchFamily="18" charset="0"/>
            </a:rPr>
            <a:t> Sub-Asstt. Engineer /SO</a:t>
          </a:r>
        </a:p>
        <a:p>
          <a:pPr algn="ctr" rtl="1">
            <a:lnSpc>
              <a:spcPts val="1200"/>
            </a:lnSpc>
          </a:pPr>
          <a:r>
            <a:rPr lang="en-US" sz="1100" b="0" i="0">
              <a:latin typeface="Times New Roman" pitchFamily="18" charset="0"/>
              <a:ea typeface="+mn-ea"/>
              <a:cs typeface="Times New Roman" pitchFamily="18" charset="0"/>
            </a:rPr>
            <a:t>Jhalodangha  O&amp;M Section</a:t>
          </a:r>
          <a:endParaRPr lang="en-US" sz="1100">
            <a:latin typeface="Times New Roman" pitchFamily="18" charset="0"/>
            <a:ea typeface="+mn-ea"/>
            <a:cs typeface="Times New Roman" pitchFamily="18" charset="0"/>
          </a:endParaRPr>
        </a:p>
        <a:p>
          <a:pPr marL="0" marR="0" indent="0" algn="ctr" defTabSz="914400" rtl="1" eaLnBrk="1" fontAlgn="auto" latinLnBrk="0" hangingPunct="1">
            <a:lnSpc>
              <a:spcPts val="1200"/>
            </a:lnSpc>
            <a:spcBef>
              <a:spcPts val="0"/>
            </a:spcBef>
            <a:spcAft>
              <a:spcPts val="0"/>
            </a:spcAft>
            <a:buClrTx/>
            <a:buSzTx/>
            <a:buFontTx/>
            <a:buNone/>
            <a:tabLst/>
            <a:defRPr/>
          </a:pPr>
          <a:r>
            <a:rPr lang="en-US" sz="1100" b="0" i="0">
              <a:latin typeface="Times New Roman" pitchFamily="18" charset="0"/>
              <a:ea typeface="+mn-ea"/>
              <a:cs typeface="Times New Roman" pitchFamily="18" charset="0"/>
            </a:rPr>
            <a:t>BWDB,Bagerhat.  </a:t>
          </a:r>
          <a:endParaRPr lang="en-US">
            <a:latin typeface="Times New Roman" pitchFamily="18" charset="0"/>
            <a:cs typeface="Times New Roman" pitchFamily="18" charset="0"/>
          </a:endParaRPr>
        </a:p>
        <a:p>
          <a:pPr algn="ctr" rtl="1">
            <a:lnSpc>
              <a:spcPts val="1200"/>
            </a:lnSpc>
          </a:pPr>
          <a:endParaRPr lang="en-US">
            <a:latin typeface="Times New Roman" pitchFamily="18" charset="0"/>
            <a:cs typeface="Times New Roman" pitchFamily="18" charset="0"/>
          </a:endParaRPr>
        </a:p>
      </xdr:txBody>
    </xdr:sp>
    <xdr:clientData/>
  </xdr:twoCellAnchor>
  <xdr:twoCellAnchor>
    <xdr:from>
      <xdr:col>3</xdr:col>
      <xdr:colOff>0</xdr:colOff>
      <xdr:row>195</xdr:row>
      <xdr:rowOff>142875</xdr:rowOff>
    </xdr:from>
    <xdr:to>
      <xdr:col>7</xdr:col>
      <xdr:colOff>76200</xdr:colOff>
      <xdr:row>200</xdr:row>
      <xdr:rowOff>19049</xdr:rowOff>
    </xdr:to>
    <xdr:sp macro="" textlink="">
      <xdr:nvSpPr>
        <xdr:cNvPr id="22" name="Text Box 76">
          <a:extLst>
            <a:ext uri="{FF2B5EF4-FFF2-40B4-BE49-F238E27FC236}">
              <a16:creationId xmlns:a16="http://schemas.microsoft.com/office/drawing/2014/main" id="{00000000-0008-0000-0000-000016000000}"/>
            </a:ext>
          </a:extLst>
        </xdr:cNvPr>
        <xdr:cNvSpPr txBox="1">
          <a:spLocks noChangeArrowheads="1"/>
        </xdr:cNvSpPr>
      </xdr:nvSpPr>
      <xdr:spPr bwMode="auto">
        <a:xfrm>
          <a:off x="1390650" y="27717750"/>
          <a:ext cx="1924050" cy="895349"/>
        </a:xfrm>
        <a:prstGeom prst="rect">
          <a:avLst/>
        </a:prstGeom>
        <a:noFill/>
        <a:ln w="9525">
          <a:noFill/>
          <a:miter lim="800000"/>
          <a:headEnd/>
          <a:tailEnd/>
        </a:ln>
      </xdr:spPr>
      <xdr:txBody>
        <a:bodyPr vertOverflow="clip" wrap="square" lIns="27432" tIns="22860" rIns="27432" bIns="0" anchor="t" upright="1"/>
        <a:lstStyle/>
        <a:p>
          <a:pPr algn="ctr" rtl="1"/>
          <a:r>
            <a:rPr lang="en-US" sz="1100" b="0" i="0" strike="noStrike">
              <a:solidFill>
                <a:srgbClr val="000000"/>
              </a:solidFill>
              <a:latin typeface="Times New Roman" pitchFamily="18" charset="0"/>
              <a:ea typeface="+mn-ea"/>
              <a:cs typeface="Times New Roman" pitchFamily="18" charset="0"/>
            </a:rPr>
            <a:t>(Faruk</a:t>
          </a:r>
          <a:r>
            <a:rPr lang="en-US" sz="1100" b="0" i="0" strike="noStrike" baseline="0">
              <a:solidFill>
                <a:srgbClr val="000000"/>
              </a:solidFill>
              <a:latin typeface="Times New Roman" pitchFamily="18" charset="0"/>
              <a:ea typeface="+mn-ea"/>
              <a:cs typeface="Times New Roman" pitchFamily="18" charset="0"/>
            </a:rPr>
            <a:t> Ahmed</a:t>
          </a:r>
          <a:r>
            <a:rPr lang="en-US" sz="1100" b="0" i="0">
              <a:latin typeface="Times New Roman" pitchFamily="18" charset="0"/>
              <a:ea typeface="+mn-ea"/>
              <a:cs typeface="Times New Roman" pitchFamily="18" charset="0"/>
            </a:rPr>
            <a:t>)</a:t>
          </a:r>
        </a:p>
        <a:p>
          <a:pPr algn="ctr" rtl="1"/>
          <a:r>
            <a:rPr lang="en-US" sz="1100" b="0" i="0">
              <a:latin typeface="Times New Roman" pitchFamily="18" charset="0"/>
              <a:ea typeface="+mn-ea"/>
              <a:cs typeface="Times New Roman" pitchFamily="18" charset="0"/>
            </a:rPr>
            <a:t>Sub- Divisional Engineer</a:t>
          </a:r>
          <a:endParaRPr lang="en-US">
            <a:latin typeface="Times New Roman" pitchFamily="18" charset="0"/>
            <a:cs typeface="Times New Roman" pitchFamily="18" charset="0"/>
          </a:endParaRPr>
        </a:p>
        <a:p>
          <a:pPr algn="ctr" rtl="1"/>
          <a:r>
            <a:rPr lang="en-US" sz="1100" b="0" i="0">
              <a:latin typeface="Times New Roman" pitchFamily="18" charset="0"/>
              <a:ea typeface="+mn-ea"/>
              <a:cs typeface="Times New Roman" pitchFamily="18" charset="0"/>
            </a:rPr>
            <a:t>Bagerhat O&amp;M Sub-Division</a:t>
          </a:r>
          <a:endParaRPr lang="en-US">
            <a:latin typeface="Times New Roman" pitchFamily="18" charset="0"/>
            <a:cs typeface="Times New Roman" pitchFamily="18" charset="0"/>
          </a:endParaRPr>
        </a:p>
        <a:p>
          <a:pPr algn="ctr" rtl="1"/>
          <a:r>
            <a:rPr lang="en-US" sz="1100" b="0" i="0">
              <a:latin typeface="Times New Roman" pitchFamily="18" charset="0"/>
              <a:ea typeface="+mn-ea"/>
              <a:cs typeface="Times New Roman" pitchFamily="18" charset="0"/>
            </a:rPr>
            <a:t>BWDB,Bagerhat.  </a:t>
          </a:r>
        </a:p>
        <a:p>
          <a:pPr algn="ctr" rtl="1">
            <a:defRPr sz="1000"/>
          </a:pPr>
          <a:endParaRPr lang="en-US" sz="1000" b="0" i="0" strike="noStrike">
            <a:solidFill>
              <a:srgbClr val="000000"/>
            </a:solidFill>
            <a:latin typeface="Times New Roman" pitchFamily="18" charset="0"/>
            <a:cs typeface="Times New Roman" pitchFamily="18" charset="0"/>
          </a:endParaRPr>
        </a:p>
      </xdr:txBody>
    </xdr:sp>
    <xdr:clientData/>
  </xdr:twoCellAnchor>
  <xdr:twoCellAnchor>
    <xdr:from>
      <xdr:col>1</xdr:col>
      <xdr:colOff>209550</xdr:colOff>
      <xdr:row>117</xdr:row>
      <xdr:rowOff>123825</xdr:rowOff>
    </xdr:from>
    <xdr:to>
      <xdr:col>9</xdr:col>
      <xdr:colOff>228600</xdr:colOff>
      <xdr:row>127</xdr:row>
      <xdr:rowOff>0</xdr:rowOff>
    </xdr:to>
    <xdr:graphicFrame macro="">
      <xdr:nvGraphicFramePr>
        <xdr:cNvPr id="14" name="Chart 13">
          <a:extLst>
            <a:ext uri="{FF2B5EF4-FFF2-40B4-BE49-F238E27FC236}">
              <a16:creationId xmlns:a16="http://schemas.microsoft.com/office/drawing/2014/main" id="{00000000-0008-0000-00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38100</xdr:colOff>
      <xdr:row>110</xdr:row>
      <xdr:rowOff>145838</xdr:rowOff>
    </xdr:from>
    <xdr:to>
      <xdr:col>1</xdr:col>
      <xdr:colOff>2329243</xdr:colOff>
      <xdr:row>114</xdr:row>
      <xdr:rowOff>186054</xdr:rowOff>
    </xdr:to>
    <xdr:sp macro="" textlink="">
      <xdr:nvSpPr>
        <xdr:cNvPr id="5" name="Text Box 76">
          <a:extLst>
            <a:ext uri="{FF2B5EF4-FFF2-40B4-BE49-F238E27FC236}">
              <a16:creationId xmlns:a16="http://schemas.microsoft.com/office/drawing/2014/main" id="{00000000-0008-0000-0100-000005000000}"/>
            </a:ext>
          </a:extLst>
        </xdr:cNvPr>
        <xdr:cNvSpPr txBox="1">
          <a:spLocks noChangeArrowheads="1"/>
        </xdr:cNvSpPr>
      </xdr:nvSpPr>
      <xdr:spPr bwMode="auto">
        <a:xfrm>
          <a:off x="828675" y="13156988"/>
          <a:ext cx="2291143" cy="802216"/>
        </a:xfrm>
        <a:prstGeom prst="rect">
          <a:avLst/>
        </a:prstGeom>
        <a:noFill/>
        <a:ln w="9525">
          <a:noFill/>
          <a:miter lim="800000"/>
          <a:headEnd/>
          <a:tailEnd/>
        </a:ln>
      </xdr:spPr>
      <xdr:txBody>
        <a:bodyPr vertOverflow="clip" wrap="square" lIns="27432" tIns="22860" rIns="27432" bIns="0" anchor="t" upright="1"/>
        <a:lstStyle/>
        <a:p>
          <a:pPr algn="ctr" rtl="1"/>
          <a:r>
            <a:rPr lang="en-US" sz="1100" b="1" i="0" strike="noStrike">
              <a:solidFill>
                <a:srgbClr val="000000"/>
              </a:solidFill>
              <a:latin typeface="Times New Roman" pitchFamily="18" charset="0"/>
              <a:ea typeface="+mn-ea"/>
              <a:cs typeface="Times New Roman" pitchFamily="18" charset="0"/>
            </a:rPr>
            <a:t>(Faruk</a:t>
          </a:r>
          <a:r>
            <a:rPr lang="en-US" sz="1100" b="1" i="0" strike="noStrike" baseline="0">
              <a:solidFill>
                <a:srgbClr val="000000"/>
              </a:solidFill>
              <a:latin typeface="Times New Roman" pitchFamily="18" charset="0"/>
              <a:ea typeface="+mn-ea"/>
              <a:cs typeface="Times New Roman" pitchFamily="18" charset="0"/>
            </a:rPr>
            <a:t> Ahmed</a:t>
          </a:r>
          <a:r>
            <a:rPr lang="en-US" sz="1100" b="1" i="0">
              <a:latin typeface="Times New Roman" pitchFamily="18" charset="0"/>
              <a:ea typeface="+mn-ea"/>
              <a:cs typeface="Times New Roman" pitchFamily="18" charset="0"/>
            </a:rPr>
            <a:t>)</a:t>
          </a:r>
        </a:p>
        <a:p>
          <a:pPr algn="ctr" rtl="1"/>
          <a:r>
            <a:rPr lang="en-US" sz="1100" b="0" i="0">
              <a:latin typeface="Times New Roman" pitchFamily="18" charset="0"/>
              <a:ea typeface="+mn-ea"/>
              <a:cs typeface="Times New Roman" pitchFamily="18" charset="0"/>
            </a:rPr>
            <a:t>Sub- Divisional Engineer</a:t>
          </a:r>
          <a:endParaRPr lang="en-US">
            <a:latin typeface="Times New Roman" pitchFamily="18" charset="0"/>
            <a:cs typeface="Times New Roman" pitchFamily="18" charset="0"/>
          </a:endParaRPr>
        </a:p>
        <a:p>
          <a:pPr algn="ctr" rtl="1"/>
          <a:r>
            <a:rPr lang="en-US" sz="1200" b="0" i="0">
              <a:latin typeface="Times New Roman" pitchFamily="18" charset="0"/>
              <a:ea typeface="+mn-ea"/>
              <a:cs typeface="Times New Roman" pitchFamily="18" charset="0"/>
            </a:rPr>
            <a:t>Bagerhat</a:t>
          </a:r>
          <a:r>
            <a:rPr lang="en-US" sz="1100" b="0" i="0">
              <a:latin typeface="Times New Roman" pitchFamily="18" charset="0"/>
              <a:ea typeface="+mn-ea"/>
              <a:cs typeface="Times New Roman" pitchFamily="18" charset="0"/>
            </a:rPr>
            <a:t> O&amp;M Sub-Division</a:t>
          </a:r>
          <a:endParaRPr lang="en-US">
            <a:latin typeface="Times New Roman" pitchFamily="18" charset="0"/>
            <a:cs typeface="Times New Roman" pitchFamily="18" charset="0"/>
          </a:endParaRPr>
        </a:p>
        <a:p>
          <a:pPr algn="ctr" rtl="1"/>
          <a:r>
            <a:rPr lang="en-US" sz="1100" b="0" i="0">
              <a:latin typeface="Times New Roman" pitchFamily="18" charset="0"/>
              <a:ea typeface="+mn-ea"/>
              <a:cs typeface="Times New Roman" pitchFamily="18" charset="0"/>
            </a:rPr>
            <a:t>BWDB,Bagerhat.  </a:t>
          </a:r>
        </a:p>
        <a:p>
          <a:pPr algn="ctr" rtl="1">
            <a:defRPr sz="1000"/>
          </a:pPr>
          <a:endParaRPr lang="en-US" sz="1000" b="0" i="0" strike="noStrike">
            <a:solidFill>
              <a:srgbClr val="000000"/>
            </a:solidFill>
            <a:latin typeface="Times New Roman" pitchFamily="18" charset="0"/>
            <a:cs typeface="Times New Roman" pitchFamily="18" charset="0"/>
          </a:endParaRPr>
        </a:p>
      </xdr:txBody>
    </xdr:sp>
    <xdr:clientData/>
  </xdr:twoCellAnchor>
  <xdr:twoCellAnchor>
    <xdr:from>
      <xdr:col>2</xdr:col>
      <xdr:colOff>566209</xdr:colOff>
      <xdr:row>111</xdr:row>
      <xdr:rowOff>11401</xdr:rowOff>
    </xdr:from>
    <xdr:to>
      <xdr:col>5</xdr:col>
      <xdr:colOff>495723</xdr:colOff>
      <xdr:row>114</xdr:row>
      <xdr:rowOff>186024</xdr:rowOff>
    </xdr:to>
    <xdr:sp macro="" textlink="">
      <xdr:nvSpPr>
        <xdr:cNvPr id="6" name="Text Box 77">
          <a:extLst>
            <a:ext uri="{FF2B5EF4-FFF2-40B4-BE49-F238E27FC236}">
              <a16:creationId xmlns:a16="http://schemas.microsoft.com/office/drawing/2014/main" id="{00000000-0008-0000-0100-000006000000}"/>
            </a:ext>
          </a:extLst>
        </xdr:cNvPr>
        <xdr:cNvSpPr txBox="1">
          <a:spLocks noChangeArrowheads="1"/>
        </xdr:cNvSpPr>
      </xdr:nvSpPr>
      <xdr:spPr bwMode="auto">
        <a:xfrm>
          <a:off x="3699934" y="13213051"/>
          <a:ext cx="1777364" cy="746123"/>
        </a:xfrm>
        <a:prstGeom prst="rect">
          <a:avLst/>
        </a:prstGeom>
        <a:noFill/>
        <a:ln w="9525">
          <a:noFill/>
          <a:miter lim="800000"/>
          <a:headEnd/>
          <a:tailEnd/>
        </a:ln>
      </xdr:spPr>
      <xdr:txBody>
        <a:bodyPr vertOverflow="clip" wrap="square" lIns="27432" tIns="22860" rIns="27432" bIns="0" anchor="t" upright="1"/>
        <a:lstStyle/>
        <a:p>
          <a:pPr algn="ctr" rtl="1">
            <a:lnSpc>
              <a:spcPts val="1200"/>
            </a:lnSpc>
          </a:pPr>
          <a:r>
            <a:rPr lang="en-US" sz="1100" b="1" i="0">
              <a:latin typeface="Times New Roman" pitchFamily="18" charset="0"/>
              <a:ea typeface="+mn-ea"/>
              <a:cs typeface="Times New Roman" pitchFamily="18" charset="0"/>
            </a:rPr>
            <a:t>(Muhammad Abu Hanif)</a:t>
          </a:r>
          <a:endParaRPr lang="en-US" b="1">
            <a:latin typeface="Times New Roman" pitchFamily="18" charset="0"/>
            <a:cs typeface="Times New Roman" pitchFamily="18" charset="0"/>
          </a:endParaRPr>
        </a:p>
        <a:p>
          <a:pPr algn="ctr" rtl="1">
            <a:lnSpc>
              <a:spcPts val="1200"/>
            </a:lnSpc>
          </a:pPr>
          <a:r>
            <a:rPr lang="en-US" sz="1100" b="0" i="0">
              <a:latin typeface="Times New Roman" pitchFamily="18" charset="0"/>
              <a:ea typeface="+mn-ea"/>
              <a:cs typeface="Times New Roman" pitchFamily="18" charset="0"/>
            </a:rPr>
            <a:t> Sub-Asstt. Engineer /S O     </a:t>
          </a:r>
        </a:p>
        <a:p>
          <a:pPr algn="ctr" rtl="1">
            <a:lnSpc>
              <a:spcPts val="1200"/>
            </a:lnSpc>
          </a:pPr>
          <a:r>
            <a:rPr lang="en-US" sz="1200" b="0" i="0">
              <a:latin typeface="Times New Roman" pitchFamily="18" charset="0"/>
              <a:ea typeface="+mn-ea"/>
              <a:cs typeface="Times New Roman" pitchFamily="18" charset="0"/>
            </a:rPr>
            <a:t>Jhalodangha</a:t>
          </a:r>
          <a:r>
            <a:rPr lang="en-US" sz="1100" b="0" i="0">
              <a:latin typeface="Times New Roman" pitchFamily="18" charset="0"/>
              <a:ea typeface="+mn-ea"/>
              <a:cs typeface="Times New Roman" pitchFamily="18" charset="0"/>
            </a:rPr>
            <a:t>  O&amp;M Section</a:t>
          </a:r>
          <a:endParaRPr lang="en-US" sz="1100">
            <a:latin typeface="Times New Roman" pitchFamily="18" charset="0"/>
            <a:ea typeface="+mn-ea"/>
            <a:cs typeface="Times New Roman" pitchFamily="18" charset="0"/>
          </a:endParaRPr>
        </a:p>
        <a:p>
          <a:pPr marL="0" marR="0" indent="0" algn="ctr" defTabSz="914400" rtl="1" eaLnBrk="1" fontAlgn="auto" latinLnBrk="0" hangingPunct="1">
            <a:lnSpc>
              <a:spcPts val="1200"/>
            </a:lnSpc>
            <a:spcBef>
              <a:spcPts val="0"/>
            </a:spcBef>
            <a:spcAft>
              <a:spcPts val="0"/>
            </a:spcAft>
            <a:buClrTx/>
            <a:buSzTx/>
            <a:buFontTx/>
            <a:buNone/>
            <a:tabLst/>
            <a:defRPr/>
          </a:pPr>
          <a:r>
            <a:rPr lang="en-US" sz="1100" b="0" i="0">
              <a:latin typeface="Times New Roman" pitchFamily="18" charset="0"/>
              <a:ea typeface="+mn-ea"/>
              <a:cs typeface="Times New Roman" pitchFamily="18" charset="0"/>
            </a:rPr>
            <a:t>BWDB,Bagerhat.  </a:t>
          </a:r>
          <a:endParaRPr lang="en-US">
            <a:latin typeface="Times New Roman" pitchFamily="18" charset="0"/>
            <a:cs typeface="Times New Roman" pitchFamily="18" charset="0"/>
          </a:endParaRPr>
        </a:p>
        <a:p>
          <a:pPr algn="ctr" rtl="1">
            <a:lnSpc>
              <a:spcPts val="1200"/>
            </a:lnSpc>
          </a:pPr>
          <a:endParaRPr lang="en-US">
            <a:latin typeface="Times New Roman" pitchFamily="18" charset="0"/>
            <a:cs typeface="Times New Roman" pitchFamily="18" charset="0"/>
          </a:endParaRPr>
        </a:p>
      </xdr:txBody>
    </xdr:sp>
    <xdr:clientData/>
  </xdr:twoCellAnchor>
  <xdr:twoCellAnchor>
    <xdr:from>
      <xdr:col>0</xdr:col>
      <xdr:colOff>135219</xdr:colOff>
      <xdr:row>54</xdr:row>
      <xdr:rowOff>142876</xdr:rowOff>
    </xdr:from>
    <xdr:to>
      <xdr:col>1</xdr:col>
      <xdr:colOff>1200150</xdr:colOff>
      <xdr:row>59</xdr:row>
      <xdr:rowOff>71718</xdr:rowOff>
    </xdr:to>
    <xdr:sp macro="" textlink="">
      <xdr:nvSpPr>
        <xdr:cNvPr id="7" name="TextBox 6">
          <a:extLst>
            <a:ext uri="{FF2B5EF4-FFF2-40B4-BE49-F238E27FC236}">
              <a16:creationId xmlns:a16="http://schemas.microsoft.com/office/drawing/2014/main" id="{00000000-0008-0000-0000-000002000000}"/>
            </a:ext>
          </a:extLst>
        </xdr:cNvPr>
        <xdr:cNvSpPr txBox="1"/>
      </xdr:nvSpPr>
      <xdr:spPr>
        <a:xfrm>
          <a:off x="135219" y="27546301"/>
          <a:ext cx="1969806" cy="881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solidFill>
                <a:schemeClr val="dk1"/>
              </a:solidFill>
              <a:latin typeface="Times New Roman" pitchFamily="18" charset="0"/>
              <a:ea typeface="+mn-ea"/>
              <a:cs typeface="Times New Roman" pitchFamily="18" charset="0"/>
            </a:rPr>
            <a:t>(Nahid-Uz-Zaman</a:t>
          </a:r>
          <a:r>
            <a:rPr lang="en-US" sz="1100" baseline="0">
              <a:solidFill>
                <a:schemeClr val="dk1"/>
              </a:solidFill>
              <a:latin typeface="Times New Roman" pitchFamily="18" charset="0"/>
              <a:ea typeface="+mn-ea"/>
              <a:cs typeface="Times New Roman" pitchFamily="18" charset="0"/>
            </a:rPr>
            <a:t> Khan)</a:t>
          </a:r>
          <a:endParaRPr lang="en-US" sz="1100">
            <a:solidFill>
              <a:schemeClr val="dk1"/>
            </a:solidFill>
            <a:latin typeface="Times New Roman" pitchFamily="18" charset="0"/>
            <a:ea typeface="+mn-ea"/>
            <a:cs typeface="Times New Roman" pitchFamily="18" charset="0"/>
          </a:endParaRPr>
        </a:p>
        <a:p>
          <a:pPr algn="ctr"/>
          <a:r>
            <a:rPr lang="en-US" sz="1100">
              <a:solidFill>
                <a:schemeClr val="dk1"/>
              </a:solidFill>
              <a:latin typeface="Times New Roman" pitchFamily="18" charset="0"/>
              <a:ea typeface="+mn-ea"/>
              <a:cs typeface="Times New Roman" pitchFamily="18" charset="0"/>
            </a:rPr>
            <a:t>Executive Engineer</a:t>
          </a:r>
          <a:endParaRPr lang="en-US">
            <a:latin typeface="Times New Roman" pitchFamily="18" charset="0"/>
            <a:cs typeface="Times New Roman" pitchFamily="18" charset="0"/>
          </a:endParaRPr>
        </a:p>
        <a:p>
          <a:pPr algn="ctr"/>
          <a:r>
            <a:rPr lang="en-US" sz="1100">
              <a:solidFill>
                <a:schemeClr val="dk1"/>
              </a:solidFill>
              <a:latin typeface="Times New Roman" pitchFamily="18" charset="0"/>
              <a:ea typeface="+mn-ea"/>
              <a:cs typeface="Times New Roman" pitchFamily="18" charset="0"/>
            </a:rPr>
            <a:t>Bagerhat O&amp;M Division</a:t>
          </a:r>
          <a:endParaRPr lang="en-US">
            <a:latin typeface="Times New Roman" pitchFamily="18" charset="0"/>
            <a:cs typeface="Times New Roman" pitchFamily="18" charset="0"/>
          </a:endParaRPr>
        </a:p>
        <a:p>
          <a:pPr algn="ctr"/>
          <a:r>
            <a:rPr lang="en-US" sz="1100">
              <a:solidFill>
                <a:schemeClr val="dk1"/>
              </a:solidFill>
              <a:latin typeface="Times New Roman" pitchFamily="18" charset="0"/>
              <a:ea typeface="+mn-ea"/>
              <a:cs typeface="Times New Roman" pitchFamily="18" charset="0"/>
            </a:rPr>
            <a:t>BWDB, Bagerhat. </a:t>
          </a:r>
        </a:p>
      </xdr:txBody>
    </xdr:sp>
    <xdr:clientData/>
  </xdr:twoCellAnchor>
  <xdr:twoCellAnchor>
    <xdr:from>
      <xdr:col>3</xdr:col>
      <xdr:colOff>371475</xdr:colOff>
      <xdr:row>54</xdr:row>
      <xdr:rowOff>123826</xdr:rowOff>
    </xdr:from>
    <xdr:to>
      <xdr:col>6</xdr:col>
      <xdr:colOff>182349</xdr:colOff>
      <xdr:row>58</xdr:row>
      <xdr:rowOff>180976</xdr:rowOff>
    </xdr:to>
    <xdr:sp macro="" textlink="">
      <xdr:nvSpPr>
        <xdr:cNvPr id="8" name="TextBox 7">
          <a:extLst>
            <a:ext uri="{FF2B5EF4-FFF2-40B4-BE49-F238E27FC236}">
              <a16:creationId xmlns:a16="http://schemas.microsoft.com/office/drawing/2014/main" id="{00000000-0008-0000-0000-000004000000}"/>
            </a:ext>
          </a:extLst>
        </xdr:cNvPr>
        <xdr:cNvSpPr txBox="1"/>
      </xdr:nvSpPr>
      <xdr:spPr>
        <a:xfrm>
          <a:off x="4657725" y="27527251"/>
          <a:ext cx="2373099" cy="819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solidFill>
                <a:schemeClr val="dk1"/>
              </a:solidFill>
              <a:latin typeface="Times New Roman" pitchFamily="18" charset="0"/>
              <a:ea typeface="+mn-ea"/>
              <a:cs typeface="Times New Roman" pitchFamily="18" charset="0"/>
            </a:rPr>
            <a:t>(Md.</a:t>
          </a:r>
          <a:r>
            <a:rPr lang="en-US" sz="1100" baseline="0">
              <a:solidFill>
                <a:schemeClr val="dk1"/>
              </a:solidFill>
              <a:latin typeface="Times New Roman" pitchFamily="18" charset="0"/>
              <a:ea typeface="+mn-ea"/>
              <a:cs typeface="Times New Roman" pitchFamily="18" charset="0"/>
            </a:rPr>
            <a:t> Mosharaf Hossain)</a:t>
          </a:r>
        </a:p>
        <a:p>
          <a:pPr algn="ctr"/>
          <a:r>
            <a:rPr lang="en-US" sz="1100" baseline="0">
              <a:solidFill>
                <a:schemeClr val="dk1"/>
              </a:solidFill>
              <a:latin typeface="Times New Roman" pitchFamily="18" charset="0"/>
              <a:ea typeface="+mn-ea"/>
              <a:cs typeface="Times New Roman" pitchFamily="18" charset="0"/>
            </a:rPr>
            <a:t>Sub-Assistant Engineer</a:t>
          </a:r>
          <a:endParaRPr lang="en-US" sz="1100">
            <a:solidFill>
              <a:schemeClr val="dk1"/>
            </a:solidFill>
            <a:latin typeface="Times New Roman" pitchFamily="18" charset="0"/>
            <a:ea typeface="+mn-ea"/>
            <a:cs typeface="Times New Roman" pitchFamily="18" charset="0"/>
          </a:endParaRPr>
        </a:p>
        <a:p>
          <a:pPr algn="ctr"/>
          <a:r>
            <a:rPr lang="en-US" sz="1100" i="0">
              <a:solidFill>
                <a:schemeClr val="dk1"/>
              </a:solidFill>
              <a:latin typeface="Times New Roman" pitchFamily="18" charset="0"/>
              <a:ea typeface="+mn-ea"/>
              <a:cs typeface="Times New Roman" pitchFamily="18" charset="0"/>
            </a:rPr>
            <a:t>Sannashi O&amp;M Section</a:t>
          </a:r>
        </a:p>
        <a:p>
          <a:pPr algn="ctr"/>
          <a:r>
            <a:rPr lang="en-US" sz="1100">
              <a:solidFill>
                <a:schemeClr val="dk1"/>
              </a:solidFill>
              <a:latin typeface="Times New Roman" pitchFamily="18" charset="0"/>
              <a:ea typeface="+mn-ea"/>
              <a:cs typeface="Times New Roman" pitchFamily="18" charset="0"/>
            </a:rPr>
            <a:t>BWDB, Rayenda, Bagerhat. </a:t>
          </a:r>
          <a:endParaRPr lang="en-US">
            <a:latin typeface="Times New Roman" pitchFamily="18" charset="0"/>
            <a:cs typeface="Times New Roman" pitchFamily="18" charset="0"/>
          </a:endParaRPr>
        </a:p>
      </xdr:txBody>
    </xdr:sp>
    <xdr:clientData/>
  </xdr:twoCellAnchor>
  <xdr:twoCellAnchor>
    <xdr:from>
      <xdr:col>1</xdr:col>
      <xdr:colOff>1381125</xdr:colOff>
      <xdr:row>54</xdr:row>
      <xdr:rowOff>133349</xdr:rowOff>
    </xdr:from>
    <xdr:to>
      <xdr:col>3</xdr:col>
      <xdr:colOff>228600</xdr:colOff>
      <xdr:row>59</xdr:row>
      <xdr:rowOff>89646</xdr:rowOff>
    </xdr:to>
    <xdr:sp macro="" textlink="">
      <xdr:nvSpPr>
        <xdr:cNvPr id="9" name="TextBox 8">
          <a:extLst>
            <a:ext uri="{FF2B5EF4-FFF2-40B4-BE49-F238E27FC236}">
              <a16:creationId xmlns:a16="http://schemas.microsoft.com/office/drawing/2014/main" id="{00000000-0008-0000-0000-000002000000}"/>
            </a:ext>
          </a:extLst>
        </xdr:cNvPr>
        <xdr:cNvSpPr txBox="1"/>
      </xdr:nvSpPr>
      <xdr:spPr>
        <a:xfrm>
          <a:off x="2286000" y="51063524"/>
          <a:ext cx="2238375" cy="9087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solidFill>
                <a:schemeClr val="dk1"/>
              </a:solidFill>
              <a:latin typeface="Times New Roman" pitchFamily="18" charset="0"/>
              <a:ea typeface="+mn-ea"/>
              <a:cs typeface="Times New Roman" pitchFamily="18" charset="0"/>
            </a:rPr>
            <a:t>(Md. Arif Hossen</a:t>
          </a:r>
          <a:r>
            <a:rPr lang="en-US" sz="1100" baseline="0">
              <a:solidFill>
                <a:schemeClr val="dk1"/>
              </a:solidFill>
              <a:latin typeface="Times New Roman" pitchFamily="18" charset="0"/>
              <a:ea typeface="+mn-ea"/>
              <a:cs typeface="Times New Roman" pitchFamily="18" charset="0"/>
            </a:rPr>
            <a:t>)</a:t>
          </a:r>
          <a:endParaRPr lang="en-US" sz="1100">
            <a:solidFill>
              <a:schemeClr val="dk1"/>
            </a:solidFill>
            <a:latin typeface="Times New Roman" pitchFamily="18" charset="0"/>
            <a:ea typeface="+mn-ea"/>
            <a:cs typeface="Times New Roman" pitchFamily="18" charset="0"/>
          </a:endParaRPr>
        </a:p>
        <a:p>
          <a:pPr algn="ctr"/>
          <a:r>
            <a:rPr lang="en-US" sz="1100">
              <a:solidFill>
                <a:schemeClr val="dk1"/>
              </a:solidFill>
              <a:latin typeface="Times New Roman" pitchFamily="18" charset="0"/>
              <a:ea typeface="+mn-ea"/>
              <a:cs typeface="Times New Roman" pitchFamily="18" charset="0"/>
            </a:rPr>
            <a:t>Sub-Divisional Engineer(A.C)</a:t>
          </a:r>
          <a:endParaRPr lang="en-US">
            <a:latin typeface="Times New Roman" pitchFamily="18" charset="0"/>
            <a:cs typeface="Times New Roman" pitchFamily="18" charset="0"/>
          </a:endParaRPr>
        </a:p>
        <a:p>
          <a:pPr algn="ctr"/>
          <a:r>
            <a:rPr lang="en-US" sz="1100">
              <a:solidFill>
                <a:schemeClr val="dk1"/>
              </a:solidFill>
              <a:latin typeface="Times New Roman" pitchFamily="18" charset="0"/>
              <a:ea typeface="+mn-ea"/>
              <a:cs typeface="Times New Roman" pitchFamily="18" charset="0"/>
            </a:rPr>
            <a:t>Rayenda O&amp;M Sub-Division</a:t>
          </a:r>
          <a:endParaRPr lang="en-US">
            <a:latin typeface="Times New Roman" pitchFamily="18" charset="0"/>
            <a:cs typeface="Times New Roman" pitchFamily="18" charset="0"/>
          </a:endParaRPr>
        </a:p>
        <a:p>
          <a:pPr algn="ctr"/>
          <a:r>
            <a:rPr lang="en-US" sz="1100">
              <a:solidFill>
                <a:schemeClr val="dk1"/>
              </a:solidFill>
              <a:latin typeface="Times New Roman" pitchFamily="18" charset="0"/>
              <a:ea typeface="+mn-ea"/>
              <a:cs typeface="Times New Roman" pitchFamily="18" charset="0"/>
            </a:rPr>
            <a:t>BWDB,</a:t>
          </a:r>
          <a:r>
            <a:rPr lang="en-US" sz="1100" baseline="0">
              <a:solidFill>
                <a:schemeClr val="dk1"/>
              </a:solidFill>
              <a:latin typeface="Times New Roman" pitchFamily="18" charset="0"/>
              <a:ea typeface="+mn-ea"/>
              <a:cs typeface="Times New Roman" pitchFamily="18" charset="0"/>
            </a:rPr>
            <a:t> </a:t>
          </a:r>
          <a:r>
            <a:rPr lang="en-US" sz="1100">
              <a:solidFill>
                <a:schemeClr val="dk1"/>
              </a:solidFill>
              <a:latin typeface="Times New Roman" pitchFamily="18" charset="0"/>
              <a:ea typeface="+mn-ea"/>
              <a:cs typeface="Times New Roman" pitchFamily="18" charset="0"/>
            </a:rPr>
            <a:t>Rayenda, Bagerhat.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96837</xdr:colOff>
      <xdr:row>638</xdr:row>
      <xdr:rowOff>125015</xdr:rowOff>
    </xdr:from>
    <xdr:to>
      <xdr:col>9</xdr:col>
      <xdr:colOff>411294</xdr:colOff>
      <xdr:row>643</xdr:row>
      <xdr:rowOff>134936</xdr:rowOff>
    </xdr:to>
    <xdr:sp macro="" textlink="">
      <xdr:nvSpPr>
        <xdr:cNvPr id="2" name="Text Box 77">
          <a:extLst>
            <a:ext uri="{FF2B5EF4-FFF2-40B4-BE49-F238E27FC236}">
              <a16:creationId xmlns:a16="http://schemas.microsoft.com/office/drawing/2014/main" id="{00000000-0008-0000-0200-000002000000}"/>
            </a:ext>
          </a:extLst>
        </xdr:cNvPr>
        <xdr:cNvSpPr txBox="1">
          <a:spLocks noChangeArrowheads="1"/>
        </xdr:cNvSpPr>
      </xdr:nvSpPr>
      <xdr:spPr bwMode="auto">
        <a:xfrm>
          <a:off x="3287712" y="21251465"/>
          <a:ext cx="1924182" cy="962421"/>
        </a:xfrm>
        <a:prstGeom prst="rect">
          <a:avLst/>
        </a:prstGeom>
        <a:noFill/>
        <a:ln w="9525">
          <a:noFill/>
          <a:miter lim="800000"/>
          <a:headEnd/>
          <a:tailEnd/>
        </a:ln>
      </xdr:spPr>
      <xdr:txBody>
        <a:bodyPr vertOverflow="clip" wrap="square" lIns="27432" tIns="22860" rIns="27432" bIns="0" anchor="t" upright="1"/>
        <a:lstStyle/>
        <a:p>
          <a:pPr algn="ctr" rtl="1">
            <a:defRPr sz="1000"/>
          </a:pPr>
          <a:r>
            <a:rPr lang="en-US" sz="1100" b="1" i="0" strike="noStrike">
              <a:solidFill>
                <a:srgbClr val="000000"/>
              </a:solidFill>
              <a:latin typeface="Times New Roman" pitchFamily="18" charset="0"/>
              <a:cs typeface="Times New Roman" pitchFamily="18" charset="0"/>
            </a:rPr>
            <a:t>(Muhammad Abu Hanif)</a:t>
          </a:r>
        </a:p>
        <a:p>
          <a:pPr algn="ctr" rtl="1">
            <a:defRPr sz="1000"/>
          </a:pPr>
          <a:r>
            <a:rPr lang="en-US" sz="1100" b="0" i="0" strike="noStrike">
              <a:solidFill>
                <a:srgbClr val="000000"/>
              </a:solidFill>
              <a:latin typeface="Times New Roman" pitchFamily="18" charset="0"/>
              <a:cs typeface="Times New Roman" pitchFamily="18" charset="0"/>
            </a:rPr>
            <a:t> Sub-Asstt. Engineer/SO</a:t>
          </a:r>
        </a:p>
        <a:p>
          <a:pPr algn="ctr" rtl="1">
            <a:defRPr sz="1000"/>
          </a:pPr>
          <a:r>
            <a:rPr lang="en-US" sz="1100" b="0" i="0" strike="noStrike">
              <a:solidFill>
                <a:srgbClr val="000000"/>
              </a:solidFill>
              <a:latin typeface="Times New Roman" pitchFamily="18" charset="0"/>
              <a:cs typeface="Times New Roman" pitchFamily="18" charset="0"/>
            </a:rPr>
            <a:t>Jhalodanga</a:t>
          </a:r>
          <a:r>
            <a:rPr lang="en-US" sz="1100" b="0" i="0" strike="noStrike" baseline="0">
              <a:solidFill>
                <a:srgbClr val="000000"/>
              </a:solidFill>
              <a:latin typeface="Times New Roman" pitchFamily="18" charset="0"/>
              <a:cs typeface="Times New Roman" pitchFamily="18" charset="0"/>
            </a:rPr>
            <a:t> </a:t>
          </a:r>
          <a:r>
            <a:rPr lang="en-US" sz="1100" b="0" i="0" strike="noStrike">
              <a:solidFill>
                <a:srgbClr val="000000"/>
              </a:solidFill>
              <a:latin typeface="Times New Roman" pitchFamily="18" charset="0"/>
              <a:cs typeface="Times New Roman" pitchFamily="18" charset="0"/>
            </a:rPr>
            <a:t>O&amp;M Section</a:t>
          </a:r>
        </a:p>
        <a:p>
          <a:pPr algn="ctr" rtl="1">
            <a:defRPr sz="1000"/>
          </a:pPr>
          <a:r>
            <a:rPr lang="en-US" sz="1100" b="0" i="0" strike="noStrike">
              <a:solidFill>
                <a:srgbClr val="000000"/>
              </a:solidFill>
              <a:latin typeface="Times New Roman" pitchFamily="18" charset="0"/>
              <a:cs typeface="Times New Roman" pitchFamily="18" charset="0"/>
            </a:rPr>
            <a:t>BWDB, Bagerhat.</a:t>
          </a:r>
          <a:endParaRPr lang="en-US" sz="1000" b="0" i="0" strike="noStrike">
            <a:solidFill>
              <a:srgbClr val="000000"/>
            </a:solidFill>
            <a:latin typeface="Times New Roman" pitchFamily="18" charset="0"/>
            <a:cs typeface="Times New Roman" pitchFamily="18" charset="0"/>
          </a:endParaRPr>
        </a:p>
        <a:p>
          <a:pPr algn="ctr" rtl="1">
            <a:defRPr sz="1000"/>
          </a:pPr>
          <a:endParaRPr lang="en-US" sz="1000" b="0" i="0" strike="noStrike">
            <a:solidFill>
              <a:srgbClr val="000000"/>
            </a:solidFill>
            <a:latin typeface="Times New Roman" pitchFamily="18" charset="0"/>
            <a:cs typeface="Times New Roman" pitchFamily="18" charset="0"/>
          </a:endParaRPr>
        </a:p>
      </xdr:txBody>
    </xdr:sp>
    <xdr:clientData/>
  </xdr:twoCellAnchor>
  <xdr:twoCellAnchor>
    <xdr:from>
      <xdr:col>1</xdr:col>
      <xdr:colOff>3176</xdr:colOff>
      <xdr:row>638</xdr:row>
      <xdr:rowOff>156448</xdr:rowOff>
    </xdr:from>
    <xdr:to>
      <xdr:col>2</xdr:col>
      <xdr:colOff>640281</xdr:colOff>
      <xdr:row>643</xdr:row>
      <xdr:rowOff>49500</xdr:rowOff>
    </xdr:to>
    <xdr:sp macro="" textlink="">
      <xdr:nvSpPr>
        <xdr:cNvPr id="3" name="Text Box 76">
          <a:extLst>
            <a:ext uri="{FF2B5EF4-FFF2-40B4-BE49-F238E27FC236}">
              <a16:creationId xmlns:a16="http://schemas.microsoft.com/office/drawing/2014/main" id="{00000000-0008-0000-0200-000003000000}"/>
            </a:ext>
          </a:extLst>
        </xdr:cNvPr>
        <xdr:cNvSpPr txBox="1">
          <a:spLocks noChangeArrowheads="1"/>
        </xdr:cNvSpPr>
      </xdr:nvSpPr>
      <xdr:spPr bwMode="auto">
        <a:xfrm>
          <a:off x="483236" y="23466028"/>
          <a:ext cx="2283025" cy="731252"/>
        </a:xfrm>
        <a:prstGeom prst="rect">
          <a:avLst/>
        </a:prstGeom>
        <a:noFill/>
        <a:ln w="9525">
          <a:noFill/>
          <a:miter lim="800000"/>
          <a:headEnd/>
          <a:tailEnd/>
        </a:ln>
      </xdr:spPr>
      <xdr:txBody>
        <a:bodyPr vertOverflow="clip" wrap="square" lIns="27432" tIns="22860" rIns="27432" bIns="0" anchor="t" upright="1"/>
        <a:lstStyle/>
        <a:p>
          <a:pPr algn="ctr" rtl="1">
            <a:defRPr sz="1000"/>
          </a:pPr>
          <a:r>
            <a:rPr lang="en-US" sz="1100" b="1" i="0" strike="noStrike">
              <a:solidFill>
                <a:srgbClr val="000000"/>
              </a:solidFill>
              <a:latin typeface="Times New Roman" pitchFamily="18" charset="0"/>
              <a:cs typeface="Times New Roman" pitchFamily="18" charset="0"/>
            </a:rPr>
            <a:t>(Faruk Ahmed)</a:t>
          </a:r>
          <a:endParaRPr lang="en-US" sz="1100" b="0" i="0" strike="noStrike">
            <a:solidFill>
              <a:srgbClr val="000000"/>
            </a:solidFill>
            <a:latin typeface="Times New Roman" pitchFamily="18" charset="0"/>
            <a:cs typeface="Times New Roman" pitchFamily="18" charset="0"/>
          </a:endParaRPr>
        </a:p>
        <a:p>
          <a:pPr algn="ctr" rtl="1">
            <a:defRPr sz="1000"/>
          </a:pPr>
          <a:r>
            <a:rPr lang="en-US" sz="1100" b="0" i="0" strike="noStrike">
              <a:solidFill>
                <a:srgbClr val="000000"/>
              </a:solidFill>
              <a:latin typeface="Times New Roman" pitchFamily="18" charset="0"/>
              <a:cs typeface="Times New Roman" pitchFamily="18" charset="0"/>
            </a:rPr>
            <a:t>Sub-Divisional Engineer </a:t>
          </a:r>
        </a:p>
        <a:p>
          <a:pPr algn="ctr" rtl="1">
            <a:defRPr sz="1000"/>
          </a:pPr>
          <a:r>
            <a:rPr lang="en-US" sz="1100" b="0" i="0" strike="noStrike">
              <a:solidFill>
                <a:srgbClr val="000000"/>
              </a:solidFill>
              <a:latin typeface="Times New Roman" pitchFamily="18" charset="0"/>
              <a:cs typeface="Times New Roman" pitchFamily="18" charset="0"/>
            </a:rPr>
            <a:t>Bagerhat O&amp;M Sub-Division</a:t>
          </a:r>
        </a:p>
        <a:p>
          <a:pPr algn="ctr" rtl="1">
            <a:defRPr sz="1000"/>
          </a:pPr>
          <a:r>
            <a:rPr lang="en-US" sz="1100" b="0" i="0" strike="noStrike">
              <a:solidFill>
                <a:srgbClr val="000000"/>
              </a:solidFill>
              <a:latin typeface="Times New Roman" pitchFamily="18" charset="0"/>
              <a:cs typeface="Times New Roman" pitchFamily="18" charset="0"/>
            </a:rPr>
            <a:t>BWDB, Bagerhat.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116"/>
  <sheetViews>
    <sheetView topLeftCell="A4" workbookViewId="0">
      <selection activeCell="O18" sqref="O18"/>
    </sheetView>
  </sheetViews>
  <sheetFormatPr defaultColWidth="9.109375" defaultRowHeight="13.8" x14ac:dyDescent="0.25"/>
  <cols>
    <col min="1" max="1" width="9.109375" style="2" customWidth="1"/>
    <col min="2" max="2" width="7.109375" style="2" customWidth="1"/>
    <col min="3" max="3" width="6.6640625" style="2" customWidth="1"/>
    <col min="4" max="5" width="8.5546875" style="2" customWidth="1"/>
    <col min="6" max="6" width="8.33203125" style="2" customWidth="1"/>
    <col min="7" max="7" width="2.33203125" style="2" customWidth="1"/>
    <col min="8" max="8" width="6.5546875" style="2" customWidth="1"/>
    <col min="9" max="9" width="7.33203125" style="2" customWidth="1"/>
    <col min="10" max="10" width="9.109375" style="2" customWidth="1"/>
    <col min="11" max="11" width="6.109375" style="2" customWidth="1"/>
    <col min="12" max="12" width="6.33203125" style="2" customWidth="1"/>
    <col min="13" max="16384" width="9.109375" style="2"/>
  </cols>
  <sheetData>
    <row r="2" spans="1:12" ht="83.25" customHeight="1" x14ac:dyDescent="0.25">
      <c r="A2" s="297" t="s">
        <v>157</v>
      </c>
      <c r="B2" s="297"/>
      <c r="C2" s="297"/>
      <c r="D2" s="297"/>
      <c r="E2" s="297"/>
      <c r="F2" s="297"/>
      <c r="G2" s="297"/>
      <c r="H2" s="297"/>
      <c r="I2" s="297"/>
      <c r="J2" s="297"/>
      <c r="K2" s="297"/>
      <c r="L2" s="297"/>
    </row>
    <row r="3" spans="1:12" x14ac:dyDescent="0.25">
      <c r="A3" s="298"/>
      <c r="B3" s="298"/>
      <c r="C3" s="298"/>
      <c r="D3" s="298"/>
      <c r="E3" s="298"/>
      <c r="F3" s="298"/>
      <c r="G3" s="298"/>
      <c r="H3" s="298"/>
      <c r="I3" s="298"/>
      <c r="J3" s="13"/>
      <c r="K3" s="3"/>
    </row>
    <row r="4" spans="1:12" x14ac:dyDescent="0.25">
      <c r="B4" s="2" t="s">
        <v>0</v>
      </c>
      <c r="H4" s="2" t="s">
        <v>1</v>
      </c>
    </row>
    <row r="5" spans="1:12" x14ac:dyDescent="0.25">
      <c r="A5" s="4">
        <v>10</v>
      </c>
      <c r="B5" s="4">
        <v>2.5499999999999998</v>
      </c>
      <c r="H5" s="4">
        <v>10</v>
      </c>
      <c r="I5" s="4">
        <f>B5</f>
        <v>2.5499999999999998</v>
      </c>
    </row>
    <row r="6" spans="1:12" x14ac:dyDescent="0.25">
      <c r="A6" s="4">
        <v>12</v>
      </c>
      <c r="B6" s="4">
        <v>1.57</v>
      </c>
      <c r="C6" s="4">
        <f>(B5+B6)/2</f>
        <v>2.06</v>
      </c>
      <c r="D6" s="4">
        <f>A6-A5</f>
        <v>2</v>
      </c>
      <c r="E6" s="4">
        <f>C6*D6</f>
        <v>4.12</v>
      </c>
      <c r="H6" s="4">
        <v>24</v>
      </c>
      <c r="I6" s="4">
        <v>-0.5</v>
      </c>
      <c r="J6" s="4">
        <f>(I5+I6)/2</f>
        <v>1.0249999999999999</v>
      </c>
      <c r="K6" s="4">
        <f>H6-H5</f>
        <v>14</v>
      </c>
      <c r="L6" s="4">
        <f>J6*K6</f>
        <v>14.349999999999998</v>
      </c>
    </row>
    <row r="7" spans="1:12" x14ac:dyDescent="0.25">
      <c r="A7" s="4">
        <v>14</v>
      </c>
      <c r="B7" s="4">
        <v>1.26</v>
      </c>
      <c r="C7" s="4">
        <f t="shared" ref="C7" si="0">(B6+B7)/2</f>
        <v>1.415</v>
      </c>
      <c r="D7" s="4">
        <f t="shared" ref="D7" si="1">A7-A6</f>
        <v>2</v>
      </c>
      <c r="E7" s="4">
        <f t="shared" ref="E7" si="2">C7*D7</f>
        <v>2.83</v>
      </c>
      <c r="H7" s="4"/>
      <c r="I7" s="4"/>
      <c r="J7" s="4"/>
      <c r="K7" s="4"/>
      <c r="L7" s="4"/>
    </row>
    <row r="8" spans="1:12" x14ac:dyDescent="0.25">
      <c r="A8" s="4">
        <v>17</v>
      </c>
      <c r="B8" s="4">
        <v>1.1100000000000001</v>
      </c>
      <c r="C8" s="4">
        <f t="shared" ref="C8:C9" si="3">(B7+B8)/2</f>
        <v>1.1850000000000001</v>
      </c>
      <c r="D8" s="4">
        <f t="shared" ref="D8:D9" si="4">A8-A7</f>
        <v>3</v>
      </c>
      <c r="E8" s="4">
        <f t="shared" ref="E8:E9" si="5">C8*D8</f>
        <v>3.5550000000000002</v>
      </c>
      <c r="H8" s="4"/>
      <c r="I8" s="4"/>
      <c r="J8" s="4"/>
      <c r="K8" s="4"/>
      <c r="L8" s="4"/>
    </row>
    <row r="9" spans="1:12" x14ac:dyDescent="0.25">
      <c r="A9" s="4">
        <v>20</v>
      </c>
      <c r="B9" s="4">
        <v>0.82</v>
      </c>
      <c r="C9" s="4">
        <f t="shared" si="3"/>
        <v>0.96500000000000008</v>
      </c>
      <c r="D9" s="4">
        <f t="shared" si="4"/>
        <v>3</v>
      </c>
      <c r="E9" s="4">
        <f t="shared" si="5"/>
        <v>2.8950000000000005</v>
      </c>
      <c r="H9" s="4"/>
      <c r="I9" s="4"/>
      <c r="J9" s="4"/>
      <c r="K9" s="5">
        <f>SUM(K6:K8)</f>
        <v>14</v>
      </c>
      <c r="L9" s="5">
        <f>SUM(L6:L8)</f>
        <v>14.349999999999998</v>
      </c>
    </row>
    <row r="10" spans="1:12" x14ac:dyDescent="0.25">
      <c r="A10" s="4">
        <v>22</v>
      </c>
      <c r="B10" s="4">
        <v>0.5</v>
      </c>
      <c r="C10" s="4">
        <f t="shared" ref="C10" si="6">(B9+B10)/2</f>
        <v>0.65999999999999992</v>
      </c>
      <c r="D10" s="4">
        <f t="shared" ref="D10" si="7">A10-A9</f>
        <v>2</v>
      </c>
      <c r="E10" s="4">
        <f t="shared" ref="E10" si="8">C10*D10</f>
        <v>1.3199999999999998</v>
      </c>
      <c r="H10" s="4"/>
      <c r="I10" s="4"/>
      <c r="J10" s="4"/>
      <c r="K10" s="4"/>
      <c r="L10" s="4"/>
    </row>
    <row r="11" spans="1:12" x14ac:dyDescent="0.25">
      <c r="A11" s="4">
        <v>24</v>
      </c>
      <c r="B11" s="4">
        <v>0.11</v>
      </c>
      <c r="C11" s="4">
        <f>(B7+B11)/2</f>
        <v>0.68500000000000005</v>
      </c>
      <c r="D11" s="4">
        <f>A11-A7</f>
        <v>10</v>
      </c>
      <c r="E11" s="4">
        <f>C11*D11</f>
        <v>6.8500000000000005</v>
      </c>
    </row>
    <row r="12" spans="1:12" x14ac:dyDescent="0.25">
      <c r="A12" s="4"/>
      <c r="B12" s="4"/>
      <c r="C12" s="4"/>
      <c r="D12" s="5">
        <f>SUM(D6:D11)</f>
        <v>22</v>
      </c>
      <c r="E12" s="5">
        <f>SUM(E6:E11)</f>
        <v>21.570000000000004</v>
      </c>
      <c r="H12" s="2" t="s">
        <v>4</v>
      </c>
      <c r="I12" s="4">
        <f>E12-L9</f>
        <v>7.220000000000006</v>
      </c>
      <c r="J12" s="2" t="s">
        <v>2</v>
      </c>
    </row>
    <row r="15" spans="1:12" x14ac:dyDescent="0.25">
      <c r="D15" s="6"/>
    </row>
    <row r="25" spans="2:11" x14ac:dyDescent="0.25">
      <c r="B25" s="2" t="s">
        <v>91</v>
      </c>
      <c r="D25" s="114">
        <v>1000</v>
      </c>
      <c r="E25" s="2" t="s">
        <v>20</v>
      </c>
      <c r="F25" s="4">
        <f>I12</f>
        <v>7.220000000000006</v>
      </c>
      <c r="I25" s="2" t="s">
        <v>21</v>
      </c>
      <c r="J25" s="2">
        <f>D25*F25</f>
        <v>7220.0000000000064</v>
      </c>
      <c r="K25" s="2" t="s">
        <v>3</v>
      </c>
    </row>
    <row r="26" spans="2:11" x14ac:dyDescent="0.25">
      <c r="B26" s="2" t="s">
        <v>92</v>
      </c>
      <c r="D26" s="114"/>
      <c r="F26" s="4"/>
    </row>
    <row r="27" spans="2:11" x14ac:dyDescent="0.25">
      <c r="B27" s="4"/>
      <c r="D27" s="4">
        <f>D25</f>
        <v>1000</v>
      </c>
      <c r="E27" s="2" t="s">
        <v>16</v>
      </c>
      <c r="F27" s="2">
        <v>1.56</v>
      </c>
      <c r="G27" s="2" t="s">
        <v>16</v>
      </c>
      <c r="H27" s="4">
        <v>1</v>
      </c>
      <c r="I27" s="2" t="s">
        <v>21</v>
      </c>
      <c r="J27" s="7">
        <f>D27*F27*H27</f>
        <v>1560</v>
      </c>
      <c r="K27" s="2" t="s">
        <v>3</v>
      </c>
    </row>
    <row r="28" spans="2:11" x14ac:dyDescent="0.25">
      <c r="J28" s="2">
        <f>SUM(J25:J27)</f>
        <v>8780.0000000000073</v>
      </c>
      <c r="K28" s="2" t="s">
        <v>3</v>
      </c>
    </row>
    <row r="46" spans="1:1" x14ac:dyDescent="0.25">
      <c r="A46" s="2" t="s">
        <v>158</v>
      </c>
    </row>
    <row r="50" spans="1:12" x14ac:dyDescent="0.25">
      <c r="B50" s="2" t="s">
        <v>0</v>
      </c>
      <c r="H50" s="2" t="s">
        <v>1</v>
      </c>
    </row>
    <row r="51" spans="1:12" x14ac:dyDescent="0.25">
      <c r="A51" s="4">
        <v>18</v>
      </c>
      <c r="B51" s="4">
        <v>1.58</v>
      </c>
      <c r="H51" s="4">
        <v>18</v>
      </c>
      <c r="I51" s="4">
        <f>B51</f>
        <v>1.58</v>
      </c>
    </row>
    <row r="52" spans="1:12" x14ac:dyDescent="0.25">
      <c r="A52" s="4">
        <v>20</v>
      </c>
      <c r="B52" s="4">
        <v>1.1499999999999999</v>
      </c>
      <c r="C52" s="4">
        <f>(B51+B52)/2</f>
        <v>1.365</v>
      </c>
      <c r="D52" s="4">
        <f>A52-A51</f>
        <v>2</v>
      </c>
      <c r="E52" s="4">
        <f>C52*D52</f>
        <v>2.73</v>
      </c>
      <c r="H52" s="4">
        <v>44.7</v>
      </c>
      <c r="I52" s="4">
        <v>-0.5</v>
      </c>
      <c r="J52" s="4">
        <f>(I51+I52)/2</f>
        <v>0.54</v>
      </c>
      <c r="K52" s="4">
        <f>H52-H51</f>
        <v>26.700000000000003</v>
      </c>
      <c r="L52" s="4">
        <f>J52*K52</f>
        <v>14.418000000000003</v>
      </c>
    </row>
    <row r="53" spans="1:12" x14ac:dyDescent="0.25">
      <c r="A53" s="4">
        <v>22</v>
      </c>
      <c r="B53" s="4">
        <v>-2.36</v>
      </c>
      <c r="C53" s="4">
        <f t="shared" ref="C53:C56" si="9">(B52+B53)/2</f>
        <v>-0.60499999999999998</v>
      </c>
      <c r="D53" s="4">
        <f t="shared" ref="D53:D56" si="10">A53-A52</f>
        <v>2</v>
      </c>
      <c r="E53" s="4">
        <f t="shared" ref="E53:E56" si="11">C53*D53</f>
        <v>-1.21</v>
      </c>
      <c r="H53" s="4"/>
      <c r="I53" s="4"/>
      <c r="J53" s="4"/>
      <c r="K53" s="4"/>
      <c r="L53" s="4"/>
    </row>
    <row r="54" spans="1:12" x14ac:dyDescent="0.25">
      <c r="A54" s="4">
        <v>24</v>
      </c>
      <c r="B54" s="4">
        <v>-4.26</v>
      </c>
      <c r="C54" s="4">
        <f t="shared" si="9"/>
        <v>-3.3099999999999996</v>
      </c>
      <c r="D54" s="4">
        <f t="shared" si="10"/>
        <v>2</v>
      </c>
      <c r="E54" s="4">
        <f t="shared" si="11"/>
        <v>-6.6199999999999992</v>
      </c>
      <c r="H54" s="4"/>
      <c r="I54" s="4"/>
      <c r="J54" s="4"/>
      <c r="K54" s="4"/>
      <c r="L54" s="4"/>
    </row>
    <row r="55" spans="1:12" x14ac:dyDescent="0.25">
      <c r="A55" s="4">
        <v>26</v>
      </c>
      <c r="B55" s="4">
        <v>-6.16</v>
      </c>
      <c r="C55" s="4">
        <f t="shared" si="9"/>
        <v>-5.21</v>
      </c>
      <c r="D55" s="4">
        <f t="shared" si="10"/>
        <v>2</v>
      </c>
      <c r="E55" s="4">
        <f t="shared" si="11"/>
        <v>-10.42</v>
      </c>
      <c r="H55" s="4"/>
      <c r="I55" s="4"/>
      <c r="J55" s="4"/>
      <c r="K55" s="5">
        <f>SUM(K52:K54)</f>
        <v>26.700000000000003</v>
      </c>
      <c r="L55" s="5">
        <f>SUM(L52:L54)</f>
        <v>14.418000000000003</v>
      </c>
    </row>
    <row r="56" spans="1:12" x14ac:dyDescent="0.25">
      <c r="A56" s="4">
        <v>28</v>
      </c>
      <c r="B56" s="4">
        <v>-8.06</v>
      </c>
      <c r="C56" s="4">
        <f t="shared" si="9"/>
        <v>-7.11</v>
      </c>
      <c r="D56" s="4">
        <f t="shared" si="10"/>
        <v>2</v>
      </c>
      <c r="E56" s="4">
        <f t="shared" si="11"/>
        <v>-14.22</v>
      </c>
      <c r="H56" s="4"/>
      <c r="I56" s="4"/>
      <c r="J56" s="4"/>
      <c r="K56" s="4"/>
      <c r="L56" s="4"/>
    </row>
    <row r="57" spans="1:12" x14ac:dyDescent="0.25">
      <c r="A57" s="4">
        <v>30</v>
      </c>
      <c r="B57" s="4">
        <v>-9.65</v>
      </c>
      <c r="C57" s="4">
        <f t="shared" ref="C57:C62" si="12">(B56+B57)/2</f>
        <v>-8.8550000000000004</v>
      </c>
      <c r="D57" s="4">
        <f t="shared" ref="D57:D62" si="13">A57-A56</f>
        <v>2</v>
      </c>
      <c r="E57" s="4">
        <f t="shared" ref="E57:E62" si="14">C57*D57</f>
        <v>-17.71</v>
      </c>
      <c r="H57" s="4"/>
      <c r="I57" s="4"/>
      <c r="J57" s="4"/>
      <c r="K57" s="4"/>
      <c r="L57" s="4"/>
    </row>
    <row r="58" spans="1:12" x14ac:dyDescent="0.25">
      <c r="A58" s="4">
        <v>32</v>
      </c>
      <c r="B58" s="4">
        <v>-11.36</v>
      </c>
      <c r="C58" s="4">
        <f t="shared" si="12"/>
        <v>-10.504999999999999</v>
      </c>
      <c r="D58" s="4">
        <f t="shared" si="13"/>
        <v>2</v>
      </c>
      <c r="E58" s="4">
        <f t="shared" si="14"/>
        <v>-21.009999999999998</v>
      </c>
      <c r="H58" s="4"/>
      <c r="I58" s="4"/>
      <c r="J58" s="4"/>
      <c r="K58" s="4"/>
      <c r="L58" s="4"/>
    </row>
    <row r="59" spans="1:12" x14ac:dyDescent="0.25">
      <c r="A59" s="4">
        <v>33.5</v>
      </c>
      <c r="B59" s="4">
        <v>-12.36</v>
      </c>
      <c r="C59" s="4">
        <f t="shared" si="12"/>
        <v>-11.86</v>
      </c>
      <c r="D59" s="4">
        <f t="shared" si="13"/>
        <v>1.5</v>
      </c>
      <c r="E59" s="4">
        <f t="shared" si="14"/>
        <v>-17.79</v>
      </c>
      <c r="H59" s="4"/>
      <c r="I59" s="4"/>
      <c r="J59" s="4"/>
      <c r="K59" s="4"/>
      <c r="L59" s="4"/>
    </row>
    <row r="60" spans="1:12" x14ac:dyDescent="0.25">
      <c r="A60" s="4">
        <v>35.4</v>
      </c>
      <c r="B60" s="4">
        <v>-14.36</v>
      </c>
      <c r="C60" s="4">
        <f t="shared" si="12"/>
        <v>-13.36</v>
      </c>
      <c r="D60" s="4">
        <f t="shared" si="13"/>
        <v>1.8999999999999986</v>
      </c>
      <c r="E60" s="4">
        <f t="shared" si="14"/>
        <v>-25.383999999999979</v>
      </c>
      <c r="H60" s="4"/>
      <c r="I60" s="4"/>
      <c r="J60" s="4"/>
      <c r="K60" s="4"/>
      <c r="L60" s="4"/>
    </row>
    <row r="61" spans="1:12" x14ac:dyDescent="0.25">
      <c r="A61" s="4">
        <v>36.799999999999997</v>
      </c>
      <c r="B61" s="4">
        <v>-14.95</v>
      </c>
      <c r="C61" s="4">
        <f t="shared" si="12"/>
        <v>-14.654999999999999</v>
      </c>
      <c r="D61" s="4">
        <f t="shared" si="13"/>
        <v>1.3999999999999986</v>
      </c>
      <c r="E61" s="4">
        <f t="shared" si="14"/>
        <v>-20.516999999999978</v>
      </c>
      <c r="H61" s="4"/>
      <c r="I61" s="4"/>
      <c r="J61" s="4"/>
      <c r="K61" s="4"/>
      <c r="L61" s="4"/>
    </row>
    <row r="62" spans="1:12" x14ac:dyDescent="0.25">
      <c r="A62" s="4">
        <v>38.799999999999997</v>
      </c>
      <c r="B62" s="4">
        <v>-15.09</v>
      </c>
      <c r="C62" s="4">
        <f t="shared" si="12"/>
        <v>-15.02</v>
      </c>
      <c r="D62" s="4">
        <f t="shared" si="13"/>
        <v>2</v>
      </c>
      <c r="E62" s="4">
        <f t="shared" si="14"/>
        <v>-30.04</v>
      </c>
      <c r="H62" s="4"/>
      <c r="I62" s="4"/>
      <c r="J62" s="4"/>
      <c r="K62" s="4"/>
      <c r="L62" s="4"/>
    </row>
    <row r="63" spans="1:12" x14ac:dyDescent="0.25">
      <c r="A63" s="4">
        <v>40.700000000000003</v>
      </c>
      <c r="B63" s="4">
        <v>-15.26</v>
      </c>
      <c r="C63" s="4">
        <f t="shared" ref="C63:C65" si="15">(B62+B63)/2</f>
        <v>-15.175000000000001</v>
      </c>
      <c r="D63" s="4">
        <f t="shared" ref="D63:D65" si="16">A63-A62</f>
        <v>1.9000000000000057</v>
      </c>
      <c r="E63" s="4">
        <f t="shared" ref="E63:E65" si="17">C63*D63</f>
        <v>-28.832500000000088</v>
      </c>
      <c r="H63" s="4"/>
      <c r="I63" s="4"/>
      <c r="J63" s="4"/>
      <c r="K63" s="4"/>
      <c r="L63" s="4"/>
    </row>
    <row r="64" spans="1:12" x14ac:dyDescent="0.25">
      <c r="A64" s="4">
        <v>42.7</v>
      </c>
      <c r="B64" s="4">
        <v>-15.78</v>
      </c>
      <c r="C64" s="4">
        <f t="shared" si="15"/>
        <v>-15.52</v>
      </c>
      <c r="D64" s="4">
        <f t="shared" si="16"/>
        <v>2</v>
      </c>
      <c r="E64" s="4">
        <f t="shared" si="17"/>
        <v>-31.04</v>
      </c>
      <c r="H64" s="4"/>
      <c r="I64" s="4"/>
      <c r="J64" s="4"/>
      <c r="K64" s="4"/>
      <c r="L64" s="4"/>
    </row>
    <row r="65" spans="1:12" x14ac:dyDescent="0.25">
      <c r="A65" s="4">
        <v>44.7</v>
      </c>
      <c r="B65" s="4">
        <v>-18.5</v>
      </c>
      <c r="C65" s="4">
        <f t="shared" si="15"/>
        <v>-17.14</v>
      </c>
      <c r="D65" s="4">
        <f t="shared" si="16"/>
        <v>2</v>
      </c>
      <c r="E65" s="4">
        <f t="shared" si="17"/>
        <v>-34.28</v>
      </c>
      <c r="H65" s="4"/>
      <c r="I65" s="4"/>
      <c r="J65" s="4"/>
      <c r="K65" s="4"/>
      <c r="L65" s="4"/>
    </row>
    <row r="66" spans="1:12" x14ac:dyDescent="0.25">
      <c r="A66" s="4"/>
      <c r="B66" s="4"/>
      <c r="C66" s="4"/>
      <c r="D66" s="4"/>
      <c r="E66" s="4"/>
      <c r="H66" s="4"/>
      <c r="I66" s="4"/>
      <c r="J66" s="4"/>
      <c r="K66" s="4"/>
      <c r="L66" s="4"/>
    </row>
    <row r="67" spans="1:12" x14ac:dyDescent="0.25">
      <c r="A67" s="4"/>
      <c r="B67" s="4"/>
      <c r="C67" s="4"/>
      <c r="D67" s="4"/>
      <c r="E67" s="4"/>
    </row>
    <row r="68" spans="1:12" x14ac:dyDescent="0.25">
      <c r="A68" s="4"/>
      <c r="B68" s="4"/>
      <c r="C68" s="4"/>
      <c r="D68" s="5">
        <f>SUM(D52:D67)</f>
        <v>26.700000000000003</v>
      </c>
      <c r="E68" s="5">
        <f>SUM(E52:E67)</f>
        <v>-256.34350000000006</v>
      </c>
      <c r="H68" s="2" t="s">
        <v>4</v>
      </c>
      <c r="I68" s="4">
        <f>L55-E68</f>
        <v>270.76150000000007</v>
      </c>
      <c r="J68" s="2" t="s">
        <v>2</v>
      </c>
    </row>
    <row r="72" spans="1:12" x14ac:dyDescent="0.25">
      <c r="B72" s="2" t="s">
        <v>91</v>
      </c>
      <c r="D72" s="114">
        <v>800</v>
      </c>
      <c r="E72" s="2" t="s">
        <v>20</v>
      </c>
      <c r="F72" s="4">
        <f>I68</f>
        <v>270.76150000000007</v>
      </c>
      <c r="I72" s="2" t="s">
        <v>21</v>
      </c>
      <c r="J72" s="2">
        <f>D72*F72</f>
        <v>216609.20000000007</v>
      </c>
      <c r="K72" s="2" t="s">
        <v>3</v>
      </c>
    </row>
    <row r="74" spans="1:12" x14ac:dyDescent="0.25">
      <c r="E74" s="2">
        <v>0.04</v>
      </c>
      <c r="F74" s="2" t="s">
        <v>160</v>
      </c>
    </row>
    <row r="75" spans="1:12" x14ac:dyDescent="0.25">
      <c r="D75" s="2" t="s">
        <v>159</v>
      </c>
      <c r="J75" s="2">
        <f>J72/E74</f>
        <v>5415230.0000000019</v>
      </c>
      <c r="K75" s="2" t="s">
        <v>18</v>
      </c>
    </row>
    <row r="99" spans="1:12" x14ac:dyDescent="0.25">
      <c r="A99" s="298"/>
      <c r="B99" s="298"/>
      <c r="C99" s="298"/>
      <c r="D99" s="298"/>
      <c r="E99" s="298"/>
      <c r="F99" s="298"/>
      <c r="G99" s="298"/>
      <c r="H99" s="298"/>
      <c r="I99" s="298"/>
      <c r="J99" s="13"/>
    </row>
    <row r="100" spans="1:12" x14ac:dyDescent="0.25">
      <c r="B100" s="2" t="s">
        <v>0</v>
      </c>
      <c r="H100" s="2" t="s">
        <v>1</v>
      </c>
    </row>
    <row r="101" spans="1:12" x14ac:dyDescent="0.25">
      <c r="A101" s="4">
        <v>0</v>
      </c>
      <c r="B101" s="4">
        <v>2</v>
      </c>
      <c r="H101" s="4">
        <v>0</v>
      </c>
      <c r="I101" s="4">
        <f>B101</f>
        <v>2</v>
      </c>
    </row>
    <row r="102" spans="1:12" x14ac:dyDescent="0.25">
      <c r="A102" s="4">
        <v>0.6</v>
      </c>
      <c r="B102" s="4">
        <v>1.5</v>
      </c>
      <c r="C102" s="4">
        <f>(B101+B102)/2</f>
        <v>1.75</v>
      </c>
      <c r="D102" s="4">
        <f>A102-A101</f>
        <v>0.6</v>
      </c>
      <c r="E102" s="4">
        <f>C102*D102</f>
        <v>1.05</v>
      </c>
      <c r="H102" s="4">
        <f>(I102-I101)*1.5</f>
        <v>3</v>
      </c>
      <c r="I102" s="4">
        <v>4</v>
      </c>
      <c r="J102" s="4">
        <f>(I101+I102)/2</f>
        <v>3</v>
      </c>
      <c r="K102" s="4">
        <f>H102-H101</f>
        <v>3</v>
      </c>
      <c r="L102" s="4">
        <f>J102*K102</f>
        <v>9</v>
      </c>
    </row>
    <row r="103" spans="1:12" x14ac:dyDescent="0.25">
      <c r="A103" s="4">
        <v>1.2</v>
      </c>
      <c r="B103" s="4">
        <v>1.4</v>
      </c>
      <c r="C103" s="4">
        <f t="shared" ref="C103:C104" si="18">(B102+B103)/2</f>
        <v>1.45</v>
      </c>
      <c r="D103" s="4">
        <f t="shared" ref="D103:D104" si="19">A103-A102</f>
        <v>0.6</v>
      </c>
      <c r="E103" s="4">
        <f t="shared" ref="E103:E104" si="20">C103*D103</f>
        <v>0.87</v>
      </c>
      <c r="H103" s="4">
        <f>H102+4</f>
        <v>7</v>
      </c>
      <c r="I103" s="4">
        <f>I102</f>
        <v>4</v>
      </c>
      <c r="J103" s="4">
        <f t="shared" ref="J103:J104" si="21">(I102+I103)/2</f>
        <v>4</v>
      </c>
      <c r="K103" s="4">
        <f t="shared" ref="K103:K104" si="22">H103-H102</f>
        <v>4</v>
      </c>
      <c r="L103" s="4">
        <f t="shared" ref="L103:L104" si="23">J103*K103</f>
        <v>16</v>
      </c>
    </row>
    <row r="104" spans="1:12" x14ac:dyDescent="0.25">
      <c r="A104" s="4">
        <f>H104</f>
        <v>15</v>
      </c>
      <c r="B104" s="4">
        <v>0</v>
      </c>
      <c r="C104" s="4">
        <f t="shared" si="18"/>
        <v>0.7</v>
      </c>
      <c r="D104" s="4">
        <f t="shared" si="19"/>
        <v>13.8</v>
      </c>
      <c r="E104" s="4">
        <f t="shared" si="20"/>
        <v>9.66</v>
      </c>
      <c r="H104" s="4">
        <f>H103+(I103-I104)*2</f>
        <v>15</v>
      </c>
      <c r="I104" s="4">
        <f>B104</f>
        <v>0</v>
      </c>
      <c r="J104" s="4">
        <f t="shared" si="21"/>
        <v>2</v>
      </c>
      <c r="K104" s="4">
        <f t="shared" si="22"/>
        <v>8</v>
      </c>
      <c r="L104" s="4">
        <f t="shared" si="23"/>
        <v>16</v>
      </c>
    </row>
    <row r="105" spans="1:12" x14ac:dyDescent="0.25">
      <c r="A105" s="4"/>
      <c r="B105" s="4"/>
      <c r="C105" s="4"/>
      <c r="D105" s="5">
        <f>SUM(D102:D104)</f>
        <v>15</v>
      </c>
      <c r="E105" s="5">
        <f>SUM(E102:E104)</f>
        <v>11.58</v>
      </c>
      <c r="H105" s="4"/>
      <c r="I105" s="4"/>
      <c r="J105" s="4"/>
      <c r="K105" s="5">
        <f>SUM(K102:K104)</f>
        <v>15</v>
      </c>
      <c r="L105" s="5">
        <f>SUM(L102:L104)</f>
        <v>41</v>
      </c>
    </row>
    <row r="106" spans="1:12" x14ac:dyDescent="0.25">
      <c r="A106" s="4"/>
      <c r="B106" s="4"/>
      <c r="C106" s="4"/>
      <c r="H106" s="4"/>
      <c r="I106" s="4"/>
      <c r="J106" s="4"/>
    </row>
    <row r="107" spans="1:12" x14ac:dyDescent="0.25">
      <c r="A107" s="4"/>
      <c r="B107" s="4"/>
      <c r="C107" s="4"/>
      <c r="H107" s="2" t="s">
        <v>4</v>
      </c>
      <c r="I107" s="4">
        <f>L105-E105</f>
        <v>29.42</v>
      </c>
      <c r="J107" s="2" t="s">
        <v>2</v>
      </c>
    </row>
    <row r="110" spans="1:12" x14ac:dyDescent="0.25">
      <c r="D110" s="6"/>
    </row>
    <row r="113" spans="1:14" x14ac:dyDescent="0.25">
      <c r="A113" s="54"/>
      <c r="B113" s="54"/>
      <c r="C113" s="54"/>
      <c r="D113" s="54"/>
      <c r="E113" s="54"/>
      <c r="F113" s="54"/>
      <c r="G113" s="54"/>
      <c r="H113" s="54"/>
      <c r="I113" s="54"/>
    </row>
    <row r="114" spans="1:14" x14ac:dyDescent="0.25">
      <c r="B114" s="2" t="s">
        <v>94</v>
      </c>
      <c r="C114" s="2" t="s">
        <v>21</v>
      </c>
      <c r="D114" s="4">
        <f>D27</f>
        <v>1000</v>
      </c>
      <c r="E114" s="4">
        <f>I107</f>
        <v>29.42</v>
      </c>
      <c r="I114" s="2" t="s">
        <v>21</v>
      </c>
      <c r="J114" s="4">
        <f>D114*E114</f>
        <v>29420</v>
      </c>
      <c r="K114" s="2" t="s">
        <v>3</v>
      </c>
    </row>
    <row r="116" spans="1:14" s="11" customFormat="1" x14ac:dyDescent="0.3">
      <c r="A116" s="8"/>
      <c r="B116" s="8"/>
      <c r="C116" s="8"/>
      <c r="D116" s="8"/>
      <c r="E116" s="8"/>
      <c r="F116" s="8"/>
      <c r="G116" s="8"/>
      <c r="H116" s="8"/>
      <c r="I116" s="9"/>
      <c r="J116" s="9"/>
      <c r="K116" s="9"/>
      <c r="L116" s="9"/>
      <c r="M116" s="1"/>
      <c r="N116" s="10"/>
    </row>
  </sheetData>
  <mergeCells count="3">
    <mergeCell ref="A2:L2"/>
    <mergeCell ref="A3:I3"/>
    <mergeCell ref="A99:I9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7"/>
  <sheetViews>
    <sheetView topLeftCell="A28" workbookViewId="0">
      <selection activeCell="B29" sqref="B29"/>
    </sheetView>
  </sheetViews>
  <sheetFormatPr defaultColWidth="9.109375" defaultRowHeight="13.8" x14ac:dyDescent="0.25"/>
  <cols>
    <col min="1" max="1" width="11.88671875" style="2" customWidth="1"/>
    <col min="2" max="2" width="34.44140625" style="2" customWidth="1"/>
    <col min="3" max="3" width="10.109375" style="2" customWidth="1"/>
    <col min="4" max="4" width="8.44140625" style="2" customWidth="1"/>
    <col min="5" max="5" width="9.5546875" style="2" customWidth="1"/>
    <col min="6" max="6" width="14.44140625" style="2" customWidth="1"/>
    <col min="7" max="7" width="9.109375" style="2"/>
    <col min="8" max="8" width="10.109375" style="2" bestFit="1" customWidth="1"/>
    <col min="9" max="16384" width="9.109375" style="2"/>
  </cols>
  <sheetData>
    <row r="1" spans="1:6" ht="47.25" customHeight="1" x14ac:dyDescent="0.25">
      <c r="A1" s="299" t="s">
        <v>310</v>
      </c>
      <c r="B1" s="299"/>
      <c r="C1" s="299"/>
      <c r="D1" s="299"/>
      <c r="E1" s="299"/>
      <c r="F1" s="299"/>
    </row>
    <row r="2" spans="1:6" ht="42.75" customHeight="1" x14ac:dyDescent="0.25">
      <c r="A2" s="21" t="s">
        <v>7</v>
      </c>
      <c r="B2" s="21" t="s">
        <v>8</v>
      </c>
      <c r="C2" s="22" t="s">
        <v>9</v>
      </c>
      <c r="D2" s="21" t="s">
        <v>10</v>
      </c>
      <c r="E2" s="21" t="s">
        <v>11</v>
      </c>
      <c r="F2" s="21" t="s">
        <v>12</v>
      </c>
    </row>
    <row r="3" spans="1:6" x14ac:dyDescent="0.25">
      <c r="A3" s="23">
        <v>1</v>
      </c>
      <c r="B3" s="23">
        <v>2</v>
      </c>
      <c r="C3" s="24">
        <v>3</v>
      </c>
      <c r="D3" s="25">
        <v>4</v>
      </c>
      <c r="E3" s="23">
        <v>5</v>
      </c>
      <c r="F3" s="23">
        <v>6</v>
      </c>
    </row>
    <row r="4" spans="1:6" ht="77.25" customHeight="1" x14ac:dyDescent="0.25">
      <c r="A4" s="26" t="s">
        <v>48</v>
      </c>
      <c r="B4" s="14" t="s">
        <v>45</v>
      </c>
      <c r="C4" s="27">
        <f>DETAILED!J7</f>
        <v>206400</v>
      </c>
      <c r="D4" s="27" t="s">
        <v>46</v>
      </c>
      <c r="E4" s="39">
        <v>38.130000000000003</v>
      </c>
      <c r="F4" s="39">
        <f t="shared" ref="F4:F16" si="0">C4*E4</f>
        <v>7870032.0000000009</v>
      </c>
    </row>
    <row r="5" spans="1:6" ht="57.75" customHeight="1" x14ac:dyDescent="0.25">
      <c r="A5" s="26" t="s">
        <v>175</v>
      </c>
      <c r="B5" s="14" t="s">
        <v>176</v>
      </c>
      <c r="C5" s="50">
        <f>DETAILED!J10</f>
        <v>52</v>
      </c>
      <c r="D5" s="27" t="s">
        <v>18</v>
      </c>
      <c r="E5" s="39">
        <v>367.41</v>
      </c>
      <c r="F5" s="39">
        <f t="shared" ref="F5" si="1">C5*E5</f>
        <v>19105.32</v>
      </c>
    </row>
    <row r="6" spans="1:6" ht="138.75" customHeight="1" x14ac:dyDescent="0.25">
      <c r="A6" s="26" t="s">
        <v>177</v>
      </c>
      <c r="B6" s="14" t="s">
        <v>252</v>
      </c>
      <c r="C6" s="50">
        <f>DETAILED!J17</f>
        <v>4</v>
      </c>
      <c r="D6" s="27" t="s">
        <v>18</v>
      </c>
      <c r="E6" s="39">
        <v>1421.49</v>
      </c>
      <c r="F6" s="39">
        <f t="shared" ref="F6" si="2">C6*E6</f>
        <v>5685.96</v>
      </c>
    </row>
    <row r="7" spans="1:6" ht="147.75" customHeight="1" x14ac:dyDescent="0.25">
      <c r="A7" s="26" t="s">
        <v>178</v>
      </c>
      <c r="B7" s="14" t="s">
        <v>56</v>
      </c>
      <c r="C7" s="42"/>
      <c r="D7" s="42"/>
      <c r="E7" s="43"/>
      <c r="F7" s="43"/>
    </row>
    <row r="8" spans="1:6" ht="24" customHeight="1" x14ac:dyDescent="0.25">
      <c r="A8" s="62" t="s">
        <v>50</v>
      </c>
      <c r="B8" s="63" t="s">
        <v>51</v>
      </c>
      <c r="C8" s="64">
        <f>DETAILED!J65</f>
        <v>277621</v>
      </c>
      <c r="D8" s="65" t="s">
        <v>17</v>
      </c>
      <c r="E8" s="66">
        <v>1442.18</v>
      </c>
      <c r="F8" s="66">
        <f t="shared" si="0"/>
        <v>400379453.78000003</v>
      </c>
    </row>
    <row r="9" spans="1:6" ht="24" customHeight="1" x14ac:dyDescent="0.25">
      <c r="A9" s="62" t="s">
        <v>58</v>
      </c>
      <c r="B9" s="63" t="s">
        <v>59</v>
      </c>
      <c r="C9" s="64">
        <f>DETAILED!J95</f>
        <v>364501</v>
      </c>
      <c r="D9" s="65" t="s">
        <v>17</v>
      </c>
      <c r="E9" s="66">
        <v>650.79</v>
      </c>
      <c r="F9" s="66">
        <f t="shared" ref="F9" si="3">C9*E9</f>
        <v>237213605.78999999</v>
      </c>
    </row>
    <row r="10" spans="1:6" ht="24" customHeight="1" x14ac:dyDescent="0.25">
      <c r="A10" s="62" t="s">
        <v>233</v>
      </c>
      <c r="B10" s="63" t="s">
        <v>224</v>
      </c>
      <c r="C10" s="64">
        <f>DETAILED!J131</f>
        <v>144452</v>
      </c>
      <c r="D10" s="65" t="s">
        <v>17</v>
      </c>
      <c r="E10" s="66">
        <v>499.32</v>
      </c>
      <c r="F10" s="66">
        <f>C10*E10</f>
        <v>72127772.640000001</v>
      </c>
    </row>
    <row r="11" spans="1:6" ht="62.25" customHeight="1" x14ac:dyDescent="0.25">
      <c r="A11" s="26" t="s">
        <v>179</v>
      </c>
      <c r="B11" s="14" t="s">
        <v>234</v>
      </c>
      <c r="C11" s="42"/>
      <c r="D11" s="42"/>
      <c r="E11" s="43"/>
      <c r="F11" s="43"/>
    </row>
    <row r="12" spans="1:6" ht="33.75" customHeight="1" x14ac:dyDescent="0.25">
      <c r="A12" s="26" t="s">
        <v>63</v>
      </c>
      <c r="B12" s="14" t="s">
        <v>62</v>
      </c>
      <c r="C12" s="78">
        <f>DETAILED!J141</f>
        <v>1943.6142000000002</v>
      </c>
      <c r="D12" s="65" t="s">
        <v>5</v>
      </c>
      <c r="E12" s="66">
        <v>1395.03</v>
      </c>
      <c r="F12" s="66">
        <f t="shared" ref="F12" si="4">C12*E12</f>
        <v>2711400.1174260001</v>
      </c>
    </row>
    <row r="13" spans="1:6" ht="33.75" customHeight="1" x14ac:dyDescent="0.25">
      <c r="A13" s="26" t="s">
        <v>66</v>
      </c>
      <c r="B13" s="14" t="s">
        <v>67</v>
      </c>
      <c r="C13" s="78">
        <f>DETAILED!J143</f>
        <v>4535.0998</v>
      </c>
      <c r="D13" s="65" t="s">
        <v>5</v>
      </c>
      <c r="E13" s="66">
        <v>2185.1</v>
      </c>
      <c r="F13" s="66">
        <f t="shared" ref="F13" si="5">C13*E13</f>
        <v>9909646.5729799997</v>
      </c>
    </row>
    <row r="14" spans="1:6" ht="258.75" customHeight="1" x14ac:dyDescent="0.25">
      <c r="A14" s="26" t="s">
        <v>180</v>
      </c>
      <c r="B14" s="14" t="s">
        <v>306</v>
      </c>
      <c r="C14" s="47"/>
      <c r="D14" s="47"/>
      <c r="E14" s="48"/>
      <c r="F14" s="48"/>
    </row>
    <row r="15" spans="1:6" ht="22.95" customHeight="1" x14ac:dyDescent="0.25">
      <c r="A15" s="26" t="s">
        <v>167</v>
      </c>
      <c r="B15" s="14" t="s">
        <v>62</v>
      </c>
      <c r="C15" s="78">
        <f>DETAILED!J154</f>
        <v>11720.983199999997</v>
      </c>
      <c r="D15" s="65" t="s">
        <v>5</v>
      </c>
      <c r="E15" s="66">
        <v>1905.43</v>
      </c>
      <c r="F15" s="66">
        <f t="shared" si="0"/>
        <v>22333513.018775996</v>
      </c>
    </row>
    <row r="16" spans="1:6" ht="22.95" customHeight="1" x14ac:dyDescent="0.25">
      <c r="A16" s="26" t="s">
        <v>168</v>
      </c>
      <c r="B16" s="14" t="s">
        <v>67</v>
      </c>
      <c r="C16" s="78">
        <f>DETAILED!J156</f>
        <v>27348.96079999999</v>
      </c>
      <c r="D16" s="65" t="s">
        <v>5</v>
      </c>
      <c r="E16" s="66">
        <v>2466.67</v>
      </c>
      <c r="F16" s="66">
        <f t="shared" si="0"/>
        <v>67460861.136535972</v>
      </c>
    </row>
    <row r="17" spans="1:6" ht="159.75" customHeight="1" x14ac:dyDescent="0.25">
      <c r="A17" s="26" t="s">
        <v>189</v>
      </c>
      <c r="B17" s="14" t="s">
        <v>166</v>
      </c>
      <c r="C17" s="47"/>
      <c r="D17" s="47"/>
      <c r="E17" s="48"/>
      <c r="F17" s="48"/>
    </row>
    <row r="18" spans="1:6" ht="51.75" customHeight="1" x14ac:dyDescent="0.25">
      <c r="A18" s="26" t="s">
        <v>236</v>
      </c>
      <c r="B18" s="14" t="s">
        <v>237</v>
      </c>
      <c r="C18" s="64">
        <f>DETAILED!J211</f>
        <v>410347</v>
      </c>
      <c r="D18" s="65" t="s">
        <v>17</v>
      </c>
      <c r="E18" s="66">
        <v>299.02999999999997</v>
      </c>
      <c r="F18" s="66">
        <f t="shared" ref="F18" si="6">C18*E18</f>
        <v>122706063.40999998</v>
      </c>
    </row>
    <row r="19" spans="1:6" ht="296.25" customHeight="1" x14ac:dyDescent="0.25">
      <c r="A19" s="26" t="s">
        <v>191</v>
      </c>
      <c r="B19" s="14" t="s">
        <v>71</v>
      </c>
      <c r="C19" s="50"/>
      <c r="D19" s="27"/>
      <c r="E19" s="39"/>
      <c r="F19" s="39"/>
    </row>
    <row r="20" spans="1:6" ht="41.25" customHeight="1" x14ac:dyDescent="0.25">
      <c r="A20" s="26" t="s">
        <v>240</v>
      </c>
      <c r="B20" s="14" t="s">
        <v>239</v>
      </c>
      <c r="C20" s="50">
        <f>DETAILED!H219</f>
        <v>410347</v>
      </c>
      <c r="D20" s="27" t="s">
        <v>17</v>
      </c>
      <c r="E20" s="39">
        <v>206.37</v>
      </c>
      <c r="F20" s="39">
        <f t="shared" ref="F20" si="7">C20*E20</f>
        <v>84683310.390000001</v>
      </c>
    </row>
    <row r="21" spans="1:6" ht="64.5" customHeight="1" x14ac:dyDescent="0.25">
      <c r="A21" s="26" t="s">
        <v>193</v>
      </c>
      <c r="B21" s="14" t="s">
        <v>76</v>
      </c>
      <c r="C21" s="50"/>
      <c r="D21" s="27"/>
      <c r="E21" s="39"/>
      <c r="F21" s="39"/>
    </row>
    <row r="22" spans="1:6" ht="27.75" customHeight="1" x14ac:dyDescent="0.25">
      <c r="A22" s="62" t="s">
        <v>74</v>
      </c>
      <c r="B22" s="63" t="s">
        <v>75</v>
      </c>
      <c r="C22" s="100">
        <f>DETAILED!J250</f>
        <v>2658.0217128973218</v>
      </c>
      <c r="D22" s="65" t="s">
        <v>5</v>
      </c>
      <c r="E22" s="66">
        <v>1316.45</v>
      </c>
      <c r="F22" s="66">
        <f t="shared" ref="F22" si="8">C22*E22</f>
        <v>3499152.6839436796</v>
      </c>
    </row>
    <row r="23" spans="1:6" ht="87.75" customHeight="1" x14ac:dyDescent="0.25">
      <c r="A23" s="26" t="s">
        <v>195</v>
      </c>
      <c r="B23" s="14" t="s">
        <v>77</v>
      </c>
      <c r="C23" s="50"/>
      <c r="D23" s="27"/>
      <c r="E23" s="39"/>
      <c r="F23" s="39"/>
    </row>
    <row r="24" spans="1:6" ht="27.75" customHeight="1" x14ac:dyDescent="0.25">
      <c r="A24" s="62" t="s">
        <v>80</v>
      </c>
      <c r="B24" s="63" t="s">
        <v>78</v>
      </c>
      <c r="C24" s="100">
        <f>DETAILED!E289</f>
        <v>2928.6108564486603</v>
      </c>
      <c r="D24" s="65" t="s">
        <v>5</v>
      </c>
      <c r="E24" s="66">
        <v>4564.59</v>
      </c>
      <c r="F24" s="66">
        <f t="shared" ref="F24" si="9">C24*E24</f>
        <v>13367907.829236992</v>
      </c>
    </row>
    <row r="25" spans="1:6" ht="39" customHeight="1" x14ac:dyDescent="0.25">
      <c r="A25" s="62" t="s">
        <v>81</v>
      </c>
      <c r="B25" s="63" t="s">
        <v>79</v>
      </c>
      <c r="C25" s="100">
        <f>C24</f>
        <v>2928.6108564486603</v>
      </c>
      <c r="D25" s="65" t="s">
        <v>5</v>
      </c>
      <c r="E25" s="66">
        <v>5028.49</v>
      </c>
      <c r="F25" s="66">
        <f t="shared" ref="F25" si="10">C25*E25</f>
        <v>14726490.405543523</v>
      </c>
    </row>
    <row r="26" spans="1:6" ht="252" x14ac:dyDescent="0.25">
      <c r="A26" s="26" t="s">
        <v>197</v>
      </c>
      <c r="B26" s="14" t="s">
        <v>307</v>
      </c>
      <c r="C26" s="50"/>
      <c r="D26" s="27"/>
      <c r="E26" s="39"/>
      <c r="F26" s="39"/>
    </row>
    <row r="27" spans="1:6" ht="66" customHeight="1" x14ac:dyDescent="0.25">
      <c r="A27" s="62" t="s">
        <v>83</v>
      </c>
      <c r="B27" s="63" t="s">
        <v>85</v>
      </c>
      <c r="C27" s="100">
        <f>DETAILED!J381</f>
        <v>37991.921283825039</v>
      </c>
      <c r="D27" s="65" t="s">
        <v>46</v>
      </c>
      <c r="E27" s="66">
        <v>250.13</v>
      </c>
      <c r="F27" s="66">
        <f t="shared" ref="F27" si="11">C27*E27</f>
        <v>9502919.2707231566</v>
      </c>
    </row>
    <row r="28" spans="1:6" ht="131.25" customHeight="1" x14ac:dyDescent="0.25">
      <c r="A28" s="26" t="s">
        <v>200</v>
      </c>
      <c r="B28" s="14" t="s">
        <v>93</v>
      </c>
      <c r="C28" s="100">
        <f>DETAILED!J390</f>
        <v>9060</v>
      </c>
      <c r="D28" s="65" t="s">
        <v>5</v>
      </c>
      <c r="E28" s="66">
        <v>218.36</v>
      </c>
      <c r="F28" s="66">
        <f t="shared" ref="F28" si="12">C28*E28</f>
        <v>1978341.6</v>
      </c>
    </row>
    <row r="29" spans="1:6" ht="208.5" customHeight="1" x14ac:dyDescent="0.25">
      <c r="A29" s="26" t="s">
        <v>255</v>
      </c>
      <c r="B29" s="14" t="s">
        <v>256</v>
      </c>
      <c r="C29" s="100"/>
      <c r="D29" s="65"/>
      <c r="E29" s="66"/>
      <c r="F29" s="66"/>
    </row>
    <row r="30" spans="1:6" ht="28.5" customHeight="1" x14ac:dyDescent="0.25">
      <c r="A30" s="26" t="s">
        <v>254</v>
      </c>
      <c r="B30" s="14" t="s">
        <v>253</v>
      </c>
      <c r="C30" s="100">
        <f>DETAILED!J400</f>
        <v>71000</v>
      </c>
      <c r="D30" s="65" t="s">
        <v>5</v>
      </c>
      <c r="E30" s="66">
        <v>262.02999999999997</v>
      </c>
      <c r="F30" s="66">
        <f t="shared" ref="F30" si="13">C30*E30</f>
        <v>18604129.999999996</v>
      </c>
    </row>
    <row r="31" spans="1:6" ht="138.75" customHeight="1" x14ac:dyDescent="0.25">
      <c r="A31" s="26" t="s">
        <v>293</v>
      </c>
      <c r="B31" s="14" t="s">
        <v>290</v>
      </c>
      <c r="C31" s="100"/>
      <c r="D31" s="65"/>
      <c r="E31" s="66"/>
      <c r="F31" s="66"/>
    </row>
    <row r="32" spans="1:6" ht="28.5" customHeight="1" x14ac:dyDescent="0.25">
      <c r="A32" s="26" t="s">
        <v>292</v>
      </c>
      <c r="B32" s="14" t="s">
        <v>95</v>
      </c>
      <c r="C32" s="100">
        <f>DETAILED!J409</f>
        <v>40037.800000000003</v>
      </c>
      <c r="D32" s="65" t="s">
        <v>5</v>
      </c>
      <c r="E32" s="66">
        <v>141.27000000000001</v>
      </c>
      <c r="F32" s="66">
        <f t="shared" ref="F32:F34" si="14">C32*E32</f>
        <v>5656140.006000001</v>
      </c>
    </row>
    <row r="33" spans="1:6" ht="299.25" customHeight="1" x14ac:dyDescent="0.25">
      <c r="A33" s="26" t="s">
        <v>214</v>
      </c>
      <c r="B33" s="14" t="s">
        <v>308</v>
      </c>
      <c r="C33" s="100"/>
      <c r="D33" s="65"/>
      <c r="E33" s="66"/>
      <c r="F33" s="66"/>
    </row>
    <row r="34" spans="1:6" ht="22.5" customHeight="1" x14ac:dyDescent="0.25">
      <c r="A34" s="26" t="s">
        <v>215</v>
      </c>
      <c r="B34" s="14" t="s">
        <v>96</v>
      </c>
      <c r="C34" s="115">
        <f>DETAILED!J419</f>
        <v>5</v>
      </c>
      <c r="D34" s="65" t="s">
        <v>18</v>
      </c>
      <c r="E34" s="66">
        <v>508581.43</v>
      </c>
      <c r="F34" s="66">
        <f t="shared" si="14"/>
        <v>2542907.15</v>
      </c>
    </row>
    <row r="35" spans="1:6" ht="66.75" customHeight="1" x14ac:dyDescent="0.25">
      <c r="A35" s="26" t="s">
        <v>202</v>
      </c>
      <c r="B35" s="14" t="s">
        <v>249</v>
      </c>
      <c r="C35" s="65">
        <f>DETAILED!J423</f>
        <v>500000</v>
      </c>
      <c r="D35" s="65" t="s">
        <v>46</v>
      </c>
      <c r="E35" s="66">
        <v>33.94</v>
      </c>
      <c r="F35" s="66">
        <f t="shared" ref="F35" si="15">C35*E35</f>
        <v>16970000</v>
      </c>
    </row>
    <row r="36" spans="1:6" ht="252" x14ac:dyDescent="0.25">
      <c r="A36" s="26" t="s">
        <v>203</v>
      </c>
      <c r="B36" s="14" t="s">
        <v>309</v>
      </c>
      <c r="C36" s="115"/>
      <c r="D36" s="65"/>
      <c r="E36" s="66"/>
      <c r="F36" s="66"/>
    </row>
    <row r="37" spans="1:6" ht="28.5" customHeight="1" x14ac:dyDescent="0.25">
      <c r="A37" s="26" t="s">
        <v>172</v>
      </c>
      <c r="B37" s="14" t="s">
        <v>173</v>
      </c>
      <c r="C37" s="115">
        <f>DETAILED!J426</f>
        <v>25</v>
      </c>
      <c r="D37" s="65" t="s">
        <v>18</v>
      </c>
      <c r="E37" s="296">
        <v>1871.35</v>
      </c>
      <c r="F37" s="66">
        <f t="shared" ref="F37:F38" si="16">C37*E37</f>
        <v>46783.75</v>
      </c>
    </row>
    <row r="38" spans="1:6" ht="48" customHeight="1" x14ac:dyDescent="0.25">
      <c r="A38" s="26" t="s">
        <v>303</v>
      </c>
      <c r="B38" s="14" t="s">
        <v>174</v>
      </c>
      <c r="C38" s="115">
        <f>DETAILED!J430</f>
        <v>25</v>
      </c>
      <c r="D38" s="65" t="s">
        <v>18</v>
      </c>
      <c r="E38" s="66">
        <v>2760</v>
      </c>
      <c r="F38" s="66">
        <f t="shared" si="16"/>
        <v>69000</v>
      </c>
    </row>
    <row r="39" spans="1:6" ht="120.75" customHeight="1" x14ac:dyDescent="0.25">
      <c r="A39" s="26" t="s">
        <v>207</v>
      </c>
      <c r="B39" s="14" t="s">
        <v>248</v>
      </c>
      <c r="C39" s="115"/>
      <c r="D39" s="65"/>
      <c r="E39" s="66"/>
      <c r="F39" s="66"/>
    </row>
    <row r="40" spans="1:6" ht="28.5" customHeight="1" x14ac:dyDescent="0.25">
      <c r="A40" s="62" t="s">
        <v>165</v>
      </c>
      <c r="B40" s="63" t="s">
        <v>100</v>
      </c>
      <c r="C40" s="100">
        <f>DETAILED!J474</f>
        <v>88.567600000000027</v>
      </c>
      <c r="D40" s="65" t="s">
        <v>3</v>
      </c>
      <c r="E40" s="66">
        <v>14932.16</v>
      </c>
      <c r="F40" s="66">
        <f t="shared" ref="F40" si="17">C40*E40</f>
        <v>1322505.5740160004</v>
      </c>
    </row>
    <row r="41" spans="1:6" ht="103.5" customHeight="1" x14ac:dyDescent="0.25">
      <c r="A41" s="26" t="s">
        <v>208</v>
      </c>
      <c r="B41" s="14" t="s">
        <v>117</v>
      </c>
      <c r="C41" s="27"/>
      <c r="D41" s="27"/>
      <c r="E41" s="39"/>
      <c r="F41" s="39"/>
    </row>
    <row r="42" spans="1:6" ht="27" customHeight="1" x14ac:dyDescent="0.25">
      <c r="A42" s="119" t="s">
        <v>119</v>
      </c>
      <c r="B42" s="120" t="s">
        <v>118</v>
      </c>
      <c r="C42" s="27">
        <f>DETAILED!J534</f>
        <v>5928.0280000000002</v>
      </c>
      <c r="D42" s="27" t="s">
        <v>23</v>
      </c>
      <c r="E42" s="39">
        <v>90.32</v>
      </c>
      <c r="F42" s="39">
        <f t="shared" ref="F42" si="18">C42*E42</f>
        <v>535419.48895999999</v>
      </c>
    </row>
    <row r="43" spans="1:6" ht="123.75" customHeight="1" x14ac:dyDescent="0.25">
      <c r="A43" s="119" t="s">
        <v>210</v>
      </c>
      <c r="B43" s="120" t="s">
        <v>150</v>
      </c>
      <c r="C43" s="27"/>
      <c r="D43" s="27"/>
      <c r="E43" s="39"/>
      <c r="F43" s="39"/>
    </row>
    <row r="44" spans="1:6" ht="41.25" customHeight="1" x14ac:dyDescent="0.25">
      <c r="A44" s="119" t="s">
        <v>143</v>
      </c>
      <c r="B44" s="120" t="s">
        <v>151</v>
      </c>
      <c r="C44" s="27">
        <f>DETAILED!J584</f>
        <v>368.99000000000007</v>
      </c>
      <c r="D44" s="27" t="s">
        <v>46</v>
      </c>
      <c r="E44" s="39">
        <v>695.99</v>
      </c>
      <c r="F44" s="39">
        <f t="shared" ref="F44" si="19">C44*E44</f>
        <v>256813.35010000004</v>
      </c>
    </row>
    <row r="45" spans="1:6" ht="249" customHeight="1" x14ac:dyDescent="0.25">
      <c r="A45" s="119" t="s">
        <v>212</v>
      </c>
      <c r="B45" s="120" t="s">
        <v>251</v>
      </c>
      <c r="C45" s="27"/>
      <c r="D45" s="27"/>
      <c r="E45" s="39"/>
      <c r="F45" s="39"/>
    </row>
    <row r="46" spans="1:6" ht="42.75" customHeight="1" x14ac:dyDescent="0.25">
      <c r="A46" s="119" t="s">
        <v>161</v>
      </c>
      <c r="B46" s="120" t="s">
        <v>164</v>
      </c>
      <c r="C46" s="50">
        <f>DETAILED!J602</f>
        <v>30960</v>
      </c>
      <c r="D46" s="27" t="s">
        <v>18</v>
      </c>
      <c r="E46" s="39">
        <v>658.06</v>
      </c>
      <c r="F46" s="39">
        <f t="shared" ref="F46" si="20">C46*E46</f>
        <v>20373537.599999998</v>
      </c>
    </row>
    <row r="47" spans="1:6" ht="60" customHeight="1" x14ac:dyDescent="0.25">
      <c r="A47" s="119" t="s">
        <v>304</v>
      </c>
      <c r="B47" s="120" t="s">
        <v>257</v>
      </c>
      <c r="C47" s="27">
        <f>DETAILED!J609</f>
        <v>3088.75</v>
      </c>
      <c r="D47" s="27" t="s">
        <v>5</v>
      </c>
      <c r="E47" s="39">
        <v>238.12</v>
      </c>
      <c r="F47" s="39">
        <f>C47*E47</f>
        <v>735493.15</v>
      </c>
    </row>
    <row r="48" spans="1:6" ht="102" customHeight="1" x14ac:dyDescent="0.25">
      <c r="A48" s="119" t="s">
        <v>282</v>
      </c>
      <c r="B48" s="120" t="s">
        <v>258</v>
      </c>
      <c r="C48" s="27"/>
      <c r="D48" s="27"/>
      <c r="E48" s="39"/>
      <c r="F48" s="39"/>
    </row>
    <row r="49" spans="1:8" ht="26.25" customHeight="1" x14ac:dyDescent="0.25">
      <c r="A49" s="131" t="s">
        <v>222</v>
      </c>
      <c r="B49" s="70" t="s">
        <v>223</v>
      </c>
      <c r="C49" s="100">
        <f>DETAILED!J613</f>
        <v>38.699999999999996</v>
      </c>
      <c r="D49" s="65" t="s">
        <v>3</v>
      </c>
      <c r="E49" s="66">
        <v>13107.46</v>
      </c>
      <c r="F49" s="66">
        <f t="shared" ref="F49" si="21">C49*E49</f>
        <v>507258.70199999993</v>
      </c>
    </row>
    <row r="50" spans="1:8" ht="14.4" x14ac:dyDescent="0.25">
      <c r="A50" s="300" t="s">
        <v>22</v>
      </c>
      <c r="B50" s="301"/>
      <c r="C50" s="301"/>
      <c r="D50" s="301"/>
      <c r="E50" s="302"/>
      <c r="F50" s="38">
        <f>SUM(F4:F49)</f>
        <v>1138115250.6962414</v>
      </c>
    </row>
    <row r="51" spans="1:8" ht="14.4" x14ac:dyDescent="0.3">
      <c r="A51" s="28"/>
      <c r="B51" s="29"/>
      <c r="C51" s="30"/>
      <c r="D51" s="31"/>
      <c r="E51" s="28"/>
      <c r="F51" s="32"/>
    </row>
    <row r="52" spans="1:8" ht="14.4" x14ac:dyDescent="0.3">
      <c r="A52" s="28"/>
      <c r="B52" s="29"/>
      <c r="C52" s="30"/>
      <c r="D52" s="31"/>
      <c r="E52" s="28"/>
      <c r="F52" s="32"/>
    </row>
    <row r="53" spans="1:8" ht="14.4" x14ac:dyDescent="0.3">
      <c r="A53" s="28"/>
      <c r="B53" s="29"/>
      <c r="C53" s="30"/>
      <c r="D53" s="31"/>
      <c r="E53" s="28"/>
      <c r="F53" s="32"/>
    </row>
    <row r="54" spans="1:8" ht="14.4" x14ac:dyDescent="0.3">
      <c r="A54"/>
      <c r="B54"/>
      <c r="C54"/>
      <c r="D54"/>
      <c r="E54"/>
      <c r="F54"/>
    </row>
    <row r="55" spans="1:8" ht="14.4" x14ac:dyDescent="0.3">
      <c r="A55"/>
      <c r="B55"/>
      <c r="C55"/>
      <c r="D55"/>
      <c r="E55"/>
      <c r="F55"/>
    </row>
    <row r="56" spans="1:8" ht="14.4" x14ac:dyDescent="0.3">
      <c r="A56"/>
      <c r="B56"/>
      <c r="C56"/>
      <c r="D56"/>
      <c r="E56"/>
      <c r="F56"/>
    </row>
    <row r="57" spans="1:8" ht="14.4" x14ac:dyDescent="0.3">
      <c r="A57"/>
      <c r="B57"/>
      <c r="C57"/>
      <c r="D57"/>
      <c r="E57"/>
      <c r="F57"/>
    </row>
    <row r="58" spans="1:8" ht="14.4" x14ac:dyDescent="0.3">
      <c r="A58"/>
      <c r="B58"/>
      <c r="C58"/>
      <c r="D58"/>
      <c r="E58"/>
      <c r="F58"/>
    </row>
    <row r="59" spans="1:8" ht="14.4" x14ac:dyDescent="0.3">
      <c r="A59"/>
      <c r="B59"/>
      <c r="C59"/>
      <c r="D59"/>
      <c r="E59"/>
      <c r="F59"/>
    </row>
    <row r="60" spans="1:8" ht="14.4" x14ac:dyDescent="0.3">
      <c r="A60"/>
      <c r="B60"/>
      <c r="C60"/>
      <c r="D60"/>
      <c r="E60"/>
      <c r="F60"/>
    </row>
    <row r="61" spans="1:8" ht="14.4" x14ac:dyDescent="0.3">
      <c r="A61" s="28"/>
      <c r="B61" s="29"/>
      <c r="C61" s="30"/>
      <c r="D61" s="31"/>
      <c r="E61" s="28"/>
      <c r="F61" s="32"/>
    </row>
    <row r="62" spans="1:8" ht="14.4" x14ac:dyDescent="0.3">
      <c r="A62" s="28"/>
      <c r="B62" s="29"/>
      <c r="C62" s="30"/>
      <c r="D62" s="31"/>
      <c r="E62" s="28"/>
      <c r="F62" s="32"/>
      <c r="H62" s="4"/>
    </row>
    <row r="63" spans="1:8" ht="14.4" x14ac:dyDescent="0.3">
      <c r="A63" s="28"/>
      <c r="B63" s="29"/>
      <c r="C63" s="30"/>
      <c r="D63" s="31"/>
      <c r="E63" s="28"/>
      <c r="F63" s="32"/>
      <c r="H63" s="2" t="s">
        <v>25</v>
      </c>
    </row>
    <row r="64" spans="1:8" ht="14.4" x14ac:dyDescent="0.3">
      <c r="A64" s="28"/>
      <c r="B64" s="29"/>
      <c r="C64" s="30"/>
      <c r="D64" s="31"/>
      <c r="E64" s="28"/>
      <c r="F64" s="32"/>
    </row>
    <row r="65" spans="1:6" ht="14.4" x14ac:dyDescent="0.3">
      <c r="A65" s="28"/>
      <c r="B65" s="29"/>
      <c r="C65" s="30"/>
      <c r="D65" s="31"/>
      <c r="E65" s="28"/>
      <c r="F65" s="32"/>
    </row>
    <row r="66" spans="1:6" ht="14.4" x14ac:dyDescent="0.3">
      <c r="A66" s="28"/>
      <c r="B66" s="29"/>
      <c r="C66" s="30"/>
      <c r="D66" s="31"/>
      <c r="E66" s="28"/>
      <c r="F66" s="32"/>
    </row>
    <row r="67" spans="1:6" ht="14.4" x14ac:dyDescent="0.3">
      <c r="A67" s="28"/>
      <c r="B67" s="29"/>
      <c r="C67" s="30"/>
      <c r="D67" s="31"/>
      <c r="E67" s="28"/>
      <c r="F67" s="32"/>
    </row>
    <row r="68" spans="1:6" ht="14.4" x14ac:dyDescent="0.3">
      <c r="A68" s="28"/>
      <c r="B68" s="29"/>
      <c r="C68" s="30"/>
      <c r="D68" s="31"/>
      <c r="E68" s="28"/>
      <c r="F68" s="32"/>
    </row>
    <row r="69" spans="1:6" ht="14.4" x14ac:dyDescent="0.3">
      <c r="A69" s="28"/>
      <c r="B69" s="29"/>
      <c r="C69" s="30"/>
      <c r="D69" s="31"/>
      <c r="E69" s="28"/>
      <c r="F69" s="32"/>
    </row>
    <row r="96" spans="1:6" ht="60" customHeight="1" x14ac:dyDescent="0.25">
      <c r="A96" s="299" t="s">
        <v>43</v>
      </c>
      <c r="B96" s="299"/>
      <c r="C96" s="299"/>
      <c r="D96" s="299"/>
      <c r="E96" s="299"/>
      <c r="F96" s="299"/>
    </row>
    <row r="97" spans="1:6" ht="24" x14ac:dyDescent="0.25">
      <c r="A97" s="21" t="s">
        <v>7</v>
      </c>
      <c r="B97" s="21" t="s">
        <v>8</v>
      </c>
      <c r="C97" s="22" t="s">
        <v>9</v>
      </c>
      <c r="D97" s="21" t="s">
        <v>10</v>
      </c>
      <c r="E97" s="21" t="s">
        <v>11</v>
      </c>
      <c r="F97" s="21" t="s">
        <v>12</v>
      </c>
    </row>
    <row r="98" spans="1:6" x14ac:dyDescent="0.25">
      <c r="A98" s="23">
        <v>1</v>
      </c>
      <c r="B98" s="23">
        <v>2</v>
      </c>
      <c r="C98" s="24">
        <v>3</v>
      </c>
      <c r="D98" s="25">
        <v>4</v>
      </c>
      <c r="E98" s="23">
        <v>5</v>
      </c>
      <c r="F98" s="23">
        <v>6</v>
      </c>
    </row>
    <row r="99" spans="1:6" ht="111.75" customHeight="1" x14ac:dyDescent="0.25">
      <c r="A99" s="40" t="s">
        <v>27</v>
      </c>
      <c r="B99" s="41" t="s">
        <v>26</v>
      </c>
      <c r="C99" s="42">
        <v>669</v>
      </c>
      <c r="D99" s="42" t="s">
        <v>6</v>
      </c>
      <c r="E99" s="43">
        <v>315.14</v>
      </c>
      <c r="F99" s="43">
        <f t="shared" ref="F99:F106" si="22">C99*E99</f>
        <v>210828.66</v>
      </c>
    </row>
    <row r="100" spans="1:6" ht="97.5" customHeight="1" x14ac:dyDescent="0.25">
      <c r="A100" s="40" t="s">
        <v>29</v>
      </c>
      <c r="B100" s="41" t="s">
        <v>28</v>
      </c>
      <c r="C100" s="42">
        <v>456.5</v>
      </c>
      <c r="D100" s="42" t="s">
        <v>6</v>
      </c>
      <c r="E100" s="43">
        <v>183.57</v>
      </c>
      <c r="F100" s="43">
        <f t="shared" si="22"/>
        <v>83799.705000000002</v>
      </c>
    </row>
    <row r="101" spans="1:6" ht="72" x14ac:dyDescent="0.25">
      <c r="A101" s="40" t="s">
        <v>31</v>
      </c>
      <c r="B101" s="41" t="s">
        <v>30</v>
      </c>
      <c r="C101" s="42">
        <v>334</v>
      </c>
      <c r="D101" s="42" t="s">
        <v>17</v>
      </c>
      <c r="E101" s="43">
        <v>317.06</v>
      </c>
      <c r="F101" s="43">
        <f t="shared" si="22"/>
        <v>105898.04</v>
      </c>
    </row>
    <row r="102" spans="1:6" ht="72" x14ac:dyDescent="0.25">
      <c r="A102" s="45" t="s">
        <v>33</v>
      </c>
      <c r="B102" s="46" t="s">
        <v>32</v>
      </c>
      <c r="C102" s="47">
        <v>668</v>
      </c>
      <c r="D102" s="47" t="s">
        <v>6</v>
      </c>
      <c r="E102" s="48">
        <v>185.58</v>
      </c>
      <c r="F102" s="48">
        <f t="shared" si="22"/>
        <v>123967.44</v>
      </c>
    </row>
    <row r="103" spans="1:6" ht="72" x14ac:dyDescent="0.25">
      <c r="A103" s="45" t="s">
        <v>35</v>
      </c>
      <c r="B103" s="46" t="s">
        <v>34</v>
      </c>
      <c r="C103" s="47">
        <v>200.6</v>
      </c>
      <c r="D103" s="47" t="s">
        <v>24</v>
      </c>
      <c r="E103" s="48">
        <v>228.65</v>
      </c>
      <c r="F103" s="48">
        <f t="shared" si="22"/>
        <v>45867.19</v>
      </c>
    </row>
    <row r="104" spans="1:6" ht="96" x14ac:dyDescent="0.25">
      <c r="A104" s="45" t="s">
        <v>37</v>
      </c>
      <c r="B104" s="46" t="s">
        <v>36</v>
      </c>
      <c r="C104" s="50">
        <v>10833</v>
      </c>
      <c r="D104" s="27" t="s">
        <v>17</v>
      </c>
      <c r="E104" s="39">
        <v>37.090000000000003</v>
      </c>
      <c r="F104" s="39">
        <f t="shared" si="22"/>
        <v>401795.97000000003</v>
      </c>
    </row>
    <row r="105" spans="1:6" ht="117.75" customHeight="1" x14ac:dyDescent="0.25">
      <c r="A105" s="45" t="s">
        <v>40</v>
      </c>
      <c r="B105" s="46" t="s">
        <v>38</v>
      </c>
      <c r="C105" s="27">
        <v>143.22</v>
      </c>
      <c r="D105" s="27" t="s">
        <v>23</v>
      </c>
      <c r="E105" s="39">
        <v>85.47</v>
      </c>
      <c r="F105" s="39">
        <f t="shared" si="22"/>
        <v>12241.0134</v>
      </c>
    </row>
    <row r="106" spans="1:6" ht="180" x14ac:dyDescent="0.25">
      <c r="A106" s="51" t="s">
        <v>42</v>
      </c>
      <c r="B106" s="52" t="s">
        <v>41</v>
      </c>
      <c r="C106" s="27">
        <v>550</v>
      </c>
      <c r="D106" s="27" t="s">
        <v>3</v>
      </c>
      <c r="E106" s="39">
        <v>214.38</v>
      </c>
      <c r="F106" s="39">
        <f t="shared" si="22"/>
        <v>117909</v>
      </c>
    </row>
    <row r="107" spans="1:6" ht="14.4" x14ac:dyDescent="0.25">
      <c r="A107" s="300" t="s">
        <v>22</v>
      </c>
      <c r="B107" s="301"/>
      <c r="C107" s="301"/>
      <c r="D107" s="301"/>
      <c r="E107" s="302"/>
      <c r="F107" s="38">
        <f>SUM(F99:F106)</f>
        <v>1102307.0183999999</v>
      </c>
    </row>
    <row r="108" spans="1:6" ht="14.4" x14ac:dyDescent="0.3">
      <c r="A108" s="28"/>
      <c r="B108" s="29"/>
      <c r="C108" s="30"/>
      <c r="D108" s="31"/>
      <c r="E108" s="28"/>
      <c r="F108" s="32"/>
    </row>
    <row r="109" spans="1:6" ht="14.4" x14ac:dyDescent="0.3">
      <c r="A109" s="28"/>
      <c r="B109" s="29"/>
      <c r="C109" s="30"/>
      <c r="D109" s="31"/>
      <c r="E109" s="28"/>
      <c r="F109" s="32"/>
    </row>
    <row r="110" spans="1:6" ht="14.4" x14ac:dyDescent="0.3">
      <c r="A110" s="28"/>
      <c r="B110" s="29"/>
      <c r="C110" s="30"/>
      <c r="D110" s="31"/>
      <c r="E110" s="28"/>
      <c r="F110" s="32"/>
    </row>
    <row r="111" spans="1:6" ht="14.4" x14ac:dyDescent="0.3">
      <c r="A111" s="28"/>
      <c r="B111" s="29"/>
      <c r="C111" s="30"/>
      <c r="D111" s="31"/>
      <c r="E111" s="28"/>
      <c r="F111" s="32"/>
    </row>
    <row r="112" spans="1:6" ht="14.4" x14ac:dyDescent="0.3">
      <c r="A112" s="28"/>
      <c r="B112" s="29"/>
      <c r="C112" s="30"/>
      <c r="D112" s="31"/>
      <c r="E112" s="28"/>
      <c r="F112" s="32"/>
    </row>
    <row r="113" spans="1:6" ht="14.4" x14ac:dyDescent="0.3">
      <c r="A113" s="28"/>
      <c r="B113" s="29"/>
      <c r="C113" s="30"/>
      <c r="D113" s="31"/>
      <c r="E113" s="28"/>
      <c r="F113" s="32"/>
    </row>
    <row r="114" spans="1:6" ht="14.4" x14ac:dyDescent="0.3">
      <c r="A114" s="28"/>
      <c r="B114" s="29"/>
      <c r="C114" s="30"/>
      <c r="D114" s="31"/>
      <c r="E114" s="28"/>
      <c r="F114" s="32"/>
    </row>
    <row r="115" spans="1:6" ht="14.4" x14ac:dyDescent="0.3">
      <c r="A115" s="28"/>
      <c r="B115" s="29"/>
      <c r="C115" s="30"/>
      <c r="D115" s="31"/>
      <c r="E115" s="28"/>
      <c r="F115" s="32"/>
    </row>
    <row r="116" spans="1:6" ht="14.4" x14ac:dyDescent="0.3">
      <c r="A116" s="28"/>
      <c r="B116" s="29"/>
      <c r="C116" s="30"/>
      <c r="D116" s="31"/>
      <c r="E116" s="28"/>
      <c r="F116" s="32"/>
    </row>
    <row r="117" spans="1:6" ht="14.4" x14ac:dyDescent="0.3">
      <c r="A117" s="28"/>
      <c r="B117" s="29"/>
      <c r="C117" s="30"/>
      <c r="D117" s="31"/>
      <c r="E117" s="28"/>
      <c r="F117" s="32"/>
    </row>
  </sheetData>
  <mergeCells count="4">
    <mergeCell ref="A1:F1"/>
    <mergeCell ref="A50:E50"/>
    <mergeCell ref="A96:F96"/>
    <mergeCell ref="A107:E107"/>
  </mergeCells>
  <pageMargins left="0.7" right="0.45" top="0.75" bottom="0.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06"/>
  <sheetViews>
    <sheetView tabSelected="1" zoomScale="145" zoomScaleNormal="145" workbookViewId="0">
      <selection activeCell="O306" sqref="O306"/>
    </sheetView>
  </sheetViews>
  <sheetFormatPr defaultColWidth="9.109375" defaultRowHeight="13.8" x14ac:dyDescent="0.25"/>
  <cols>
    <col min="1" max="1" width="11.44140625" style="2" customWidth="1"/>
    <col min="2" max="2" width="26.44140625" style="2" customWidth="1"/>
    <col min="3" max="3" width="6.88671875" style="2" customWidth="1"/>
    <col min="4" max="4" width="1.88671875" style="2" customWidth="1"/>
    <col min="5" max="5" width="6.44140625" style="2" customWidth="1"/>
    <col min="6" max="6" width="5.88671875" style="2" customWidth="1"/>
    <col min="7" max="7" width="2.5546875" style="2" customWidth="1"/>
    <col min="8" max="8" width="9.88671875" style="2" customWidth="1"/>
    <col min="9" max="9" width="9.33203125" style="2" customWidth="1"/>
    <col min="10" max="10" width="8.44140625" style="276" customWidth="1"/>
    <col min="11" max="11" width="4.5546875" style="276" customWidth="1"/>
    <col min="12" max="16384" width="9.109375" style="2"/>
  </cols>
  <sheetData>
    <row r="1" spans="1:13" ht="52.5" customHeight="1" x14ac:dyDescent="0.25">
      <c r="A1" s="370" t="s">
        <v>284</v>
      </c>
      <c r="B1" s="371"/>
      <c r="C1" s="371"/>
      <c r="D1" s="371"/>
      <c r="E1" s="371"/>
      <c r="F1" s="371"/>
      <c r="G1" s="371"/>
      <c r="H1" s="371"/>
      <c r="I1" s="371"/>
      <c r="J1" s="371"/>
      <c r="K1" s="372"/>
      <c r="L1" s="218"/>
    </row>
    <row r="2" spans="1:13" ht="26.4" customHeight="1" x14ac:dyDescent="0.25">
      <c r="A2" s="166" t="s">
        <v>13</v>
      </c>
      <c r="B2" s="166" t="s">
        <v>14</v>
      </c>
      <c r="C2" s="378" t="s">
        <v>15</v>
      </c>
      <c r="D2" s="378"/>
      <c r="E2" s="378"/>
      <c r="F2" s="378"/>
      <c r="G2" s="378"/>
      <c r="H2" s="378"/>
      <c r="I2" s="378"/>
      <c r="J2" s="373" t="s">
        <v>9</v>
      </c>
      <c r="K2" s="374"/>
      <c r="L2" s="218"/>
    </row>
    <row r="3" spans="1:13" x14ac:dyDescent="0.25">
      <c r="A3" s="166">
        <v>1</v>
      </c>
      <c r="B3" s="15">
        <v>2</v>
      </c>
      <c r="C3" s="377">
        <v>3</v>
      </c>
      <c r="D3" s="377"/>
      <c r="E3" s="377"/>
      <c r="F3" s="377"/>
      <c r="G3" s="377"/>
      <c r="H3" s="377"/>
      <c r="I3" s="377"/>
      <c r="J3" s="375">
        <v>4</v>
      </c>
      <c r="K3" s="376"/>
      <c r="L3" s="218"/>
      <c r="M3" s="218"/>
    </row>
    <row r="4" spans="1:13" ht="55.5" customHeight="1" x14ac:dyDescent="0.25">
      <c r="A4" s="358" t="s">
        <v>44</v>
      </c>
      <c r="B4" s="340" t="s">
        <v>45</v>
      </c>
      <c r="C4" s="379"/>
      <c r="D4" s="380"/>
      <c r="E4" s="380"/>
      <c r="F4" s="380"/>
      <c r="G4" s="380"/>
      <c r="H4" s="44"/>
      <c r="I4" s="44"/>
      <c r="J4" s="57"/>
      <c r="K4" s="219"/>
    </row>
    <row r="5" spans="1:13" x14ac:dyDescent="0.25">
      <c r="A5" s="356"/>
      <c r="B5" s="341"/>
      <c r="C5" s="381"/>
      <c r="D5" s="382"/>
      <c r="E5" s="169"/>
      <c r="F5" s="179"/>
      <c r="G5" s="179"/>
      <c r="H5" s="179"/>
      <c r="I5" s="179"/>
      <c r="J5" s="58"/>
      <c r="K5" s="220"/>
    </row>
    <row r="6" spans="1:13" x14ac:dyDescent="0.25">
      <c r="A6" s="356"/>
      <c r="B6" s="341"/>
      <c r="C6" s="338" t="s">
        <v>47</v>
      </c>
      <c r="D6" s="339"/>
      <c r="E6" s="339"/>
      <c r="F6" s="339"/>
      <c r="G6" s="339"/>
      <c r="H6" s="179"/>
      <c r="I6" s="179"/>
      <c r="J6" s="58"/>
      <c r="K6" s="220"/>
    </row>
    <row r="7" spans="1:13" x14ac:dyDescent="0.25">
      <c r="A7" s="356"/>
      <c r="B7" s="341"/>
      <c r="C7" s="167">
        <v>2580</v>
      </c>
      <c r="D7" s="179" t="s">
        <v>16</v>
      </c>
      <c r="E7" s="169">
        <v>80</v>
      </c>
      <c r="F7" s="59"/>
      <c r="G7" s="179" t="s">
        <v>21</v>
      </c>
      <c r="H7" s="60">
        <f>ROUND((C7*E7),3)</f>
        <v>206400</v>
      </c>
      <c r="I7" s="60" t="s">
        <v>46</v>
      </c>
      <c r="J7" s="58">
        <f>H7</f>
        <v>206400</v>
      </c>
      <c r="K7" s="220" t="s">
        <v>46</v>
      </c>
    </row>
    <row r="8" spans="1:13" x14ac:dyDescent="0.25">
      <c r="A8" s="383"/>
      <c r="B8" s="384"/>
      <c r="C8" s="133"/>
      <c r="D8" s="61"/>
      <c r="E8" s="134"/>
      <c r="F8" s="61"/>
      <c r="G8" s="61"/>
      <c r="H8" s="61"/>
      <c r="I8" s="61"/>
      <c r="J8" s="135"/>
      <c r="K8" s="221"/>
    </row>
    <row r="9" spans="1:13" ht="15" customHeight="1" x14ac:dyDescent="0.25">
      <c r="A9" s="358" t="s">
        <v>181</v>
      </c>
      <c r="B9" s="385" t="s">
        <v>176</v>
      </c>
      <c r="C9" s="167"/>
      <c r="D9" s="179"/>
      <c r="E9" s="169"/>
      <c r="F9" s="179"/>
      <c r="G9" s="179"/>
      <c r="H9" s="179"/>
      <c r="I9" s="179"/>
      <c r="J9" s="58"/>
      <c r="K9" s="220"/>
    </row>
    <row r="10" spans="1:13" ht="24" customHeight="1" x14ac:dyDescent="0.25">
      <c r="A10" s="356"/>
      <c r="B10" s="357"/>
      <c r="C10" s="338" t="s">
        <v>182</v>
      </c>
      <c r="D10" s="339"/>
      <c r="E10" s="339"/>
      <c r="F10" s="339"/>
      <c r="G10" s="179"/>
      <c r="H10" s="179">
        <v>52</v>
      </c>
      <c r="I10" s="179" t="s">
        <v>18</v>
      </c>
      <c r="J10" s="136">
        <v>52</v>
      </c>
      <c r="K10" s="220" t="s">
        <v>18</v>
      </c>
    </row>
    <row r="11" spans="1:13" x14ac:dyDescent="0.25">
      <c r="A11" s="356"/>
      <c r="B11" s="357"/>
      <c r="C11" s="167"/>
      <c r="D11" s="179"/>
      <c r="E11" s="169"/>
      <c r="F11" s="179"/>
      <c r="G11" s="179"/>
      <c r="H11" s="179"/>
      <c r="I11" s="179"/>
      <c r="J11" s="58"/>
      <c r="K11" s="220"/>
    </row>
    <row r="12" spans="1:13" x14ac:dyDescent="0.25">
      <c r="A12" s="356"/>
      <c r="B12" s="357"/>
      <c r="C12" s="167"/>
      <c r="D12" s="179"/>
      <c r="E12" s="169"/>
      <c r="F12" s="179"/>
      <c r="G12" s="179"/>
      <c r="H12" s="179"/>
      <c r="I12" s="179"/>
      <c r="J12" s="58"/>
      <c r="K12" s="220"/>
    </row>
    <row r="13" spans="1:13" x14ac:dyDescent="0.25">
      <c r="A13" s="358" t="s">
        <v>183</v>
      </c>
      <c r="B13" s="385" t="s">
        <v>184</v>
      </c>
      <c r="C13" s="167"/>
      <c r="D13" s="179"/>
      <c r="E13" s="169"/>
      <c r="F13" s="179"/>
      <c r="G13" s="179"/>
      <c r="H13" s="179"/>
      <c r="I13" s="179"/>
      <c r="J13" s="58"/>
      <c r="K13" s="220"/>
    </row>
    <row r="14" spans="1:13" x14ac:dyDescent="0.25">
      <c r="A14" s="356"/>
      <c r="B14" s="357"/>
      <c r="C14" s="167"/>
      <c r="D14" s="179"/>
      <c r="E14" s="169"/>
      <c r="F14" s="179"/>
      <c r="G14" s="179"/>
      <c r="H14" s="179"/>
      <c r="I14" s="179"/>
      <c r="J14" s="58"/>
      <c r="K14" s="220"/>
    </row>
    <row r="15" spans="1:13" x14ac:dyDescent="0.25">
      <c r="A15" s="356"/>
      <c r="B15" s="357"/>
      <c r="C15" s="167"/>
      <c r="D15" s="179"/>
      <c r="E15" s="169"/>
      <c r="F15" s="179"/>
      <c r="G15" s="179"/>
      <c r="H15" s="179"/>
      <c r="I15" s="179"/>
      <c r="J15" s="58"/>
      <c r="K15" s="220"/>
    </row>
    <row r="16" spans="1:13" x14ac:dyDescent="0.25">
      <c r="A16" s="356"/>
      <c r="B16" s="357"/>
      <c r="C16" s="167"/>
      <c r="D16" s="179"/>
      <c r="E16" s="169"/>
      <c r="F16" s="179"/>
      <c r="G16" s="179"/>
      <c r="H16" s="179"/>
      <c r="I16" s="179"/>
      <c r="J16" s="58"/>
      <c r="K16" s="220"/>
    </row>
    <row r="17" spans="1:11" x14ac:dyDescent="0.25">
      <c r="A17" s="356"/>
      <c r="B17" s="357"/>
      <c r="C17" s="338" t="s">
        <v>185</v>
      </c>
      <c r="D17" s="339"/>
      <c r="E17" s="339"/>
      <c r="F17" s="339"/>
      <c r="G17" s="179"/>
      <c r="H17" s="179">
        <v>4</v>
      </c>
      <c r="I17" s="179" t="s">
        <v>18</v>
      </c>
      <c r="J17" s="136">
        <v>4</v>
      </c>
      <c r="K17" s="220" t="s">
        <v>18</v>
      </c>
    </row>
    <row r="18" spans="1:11" ht="55.5" customHeight="1" x14ac:dyDescent="0.25">
      <c r="A18" s="383"/>
      <c r="B18" s="386"/>
      <c r="C18" s="167"/>
      <c r="D18" s="179"/>
      <c r="E18" s="169"/>
      <c r="F18" s="179"/>
      <c r="G18" s="179"/>
      <c r="H18" s="179"/>
      <c r="I18" s="179"/>
      <c r="J18" s="58"/>
      <c r="K18" s="220"/>
    </row>
    <row r="19" spans="1:11" ht="52.5" customHeight="1" x14ac:dyDescent="0.25">
      <c r="A19" s="156" t="s">
        <v>186</v>
      </c>
      <c r="B19" s="385" t="s">
        <v>49</v>
      </c>
      <c r="C19" s="330"/>
      <c r="D19" s="331"/>
      <c r="E19" s="331"/>
      <c r="F19" s="331"/>
      <c r="G19" s="331"/>
      <c r="H19" s="331"/>
      <c r="I19" s="173"/>
      <c r="J19" s="55"/>
      <c r="K19" s="219"/>
    </row>
    <row r="20" spans="1:11" x14ac:dyDescent="0.25">
      <c r="A20" s="67"/>
      <c r="B20" s="357"/>
      <c r="C20" s="37"/>
      <c r="D20" s="186"/>
      <c r="E20" s="186"/>
      <c r="F20" s="186"/>
      <c r="G20" s="186"/>
      <c r="H20" s="186"/>
      <c r="I20" s="186"/>
      <c r="J20" s="36"/>
      <c r="K20" s="220"/>
    </row>
    <row r="21" spans="1:11" x14ac:dyDescent="0.25">
      <c r="A21" s="67"/>
      <c r="B21" s="357"/>
      <c r="C21" s="313"/>
      <c r="D21" s="314"/>
      <c r="E21" s="314"/>
      <c r="F21" s="186"/>
      <c r="G21" s="186"/>
      <c r="H21" s="186"/>
      <c r="I21" s="186"/>
      <c r="J21" s="36"/>
      <c r="K21" s="220"/>
    </row>
    <row r="22" spans="1:11" x14ac:dyDescent="0.25">
      <c r="A22" s="157"/>
      <c r="B22" s="357"/>
      <c r="C22" s="313"/>
      <c r="D22" s="314"/>
      <c r="E22" s="314"/>
      <c r="F22" s="314"/>
      <c r="G22" s="314"/>
      <c r="H22" s="186"/>
      <c r="I22" s="186"/>
      <c r="J22" s="36"/>
      <c r="K22" s="220"/>
    </row>
    <row r="23" spans="1:11" x14ac:dyDescent="0.25">
      <c r="A23" s="157"/>
      <c r="B23" s="357"/>
      <c r="C23" s="313"/>
      <c r="D23" s="314"/>
      <c r="E23" s="314"/>
      <c r="F23" s="159"/>
      <c r="G23" s="186"/>
      <c r="H23" s="186"/>
      <c r="I23" s="186"/>
      <c r="J23" s="36"/>
      <c r="K23" s="220"/>
    </row>
    <row r="24" spans="1:11" x14ac:dyDescent="0.25">
      <c r="A24" s="157"/>
      <c r="B24" s="357"/>
      <c r="C24" s="312"/>
      <c r="D24" s="311"/>
      <c r="E24" s="183"/>
      <c r="F24" s="183"/>
      <c r="G24" s="161"/>
      <c r="H24" s="186"/>
      <c r="I24" s="186"/>
      <c r="J24" s="36"/>
      <c r="K24" s="220"/>
    </row>
    <row r="25" spans="1:11" x14ac:dyDescent="0.25">
      <c r="A25" s="157"/>
      <c r="B25" s="357"/>
      <c r="C25" s="37"/>
      <c r="D25" s="186"/>
      <c r="E25" s="161"/>
      <c r="F25" s="186"/>
      <c r="G25" s="186"/>
      <c r="H25" s="186"/>
      <c r="I25" s="186"/>
      <c r="J25" s="36"/>
      <c r="K25" s="220"/>
    </row>
    <row r="26" spans="1:11" x14ac:dyDescent="0.25">
      <c r="A26" s="157"/>
      <c r="B26" s="357"/>
      <c r="C26" s="313"/>
      <c r="D26" s="314"/>
      <c r="E26" s="314"/>
      <c r="F26" s="186"/>
      <c r="G26" s="186"/>
      <c r="H26" s="186"/>
      <c r="I26" s="186"/>
      <c r="J26" s="36"/>
      <c r="K26" s="220"/>
    </row>
    <row r="27" spans="1:11" x14ac:dyDescent="0.25">
      <c r="A27" s="157"/>
      <c r="B27" s="357"/>
      <c r="C27" s="313"/>
      <c r="D27" s="314"/>
      <c r="E27" s="314"/>
      <c r="F27" s="314"/>
      <c r="G27" s="314"/>
      <c r="H27" s="186"/>
      <c r="I27" s="186"/>
      <c r="J27" s="36"/>
      <c r="K27" s="220"/>
    </row>
    <row r="28" spans="1:11" ht="20.25" customHeight="1" x14ac:dyDescent="0.25">
      <c r="A28" s="157"/>
      <c r="B28" s="357"/>
      <c r="C28" s="318" t="s">
        <v>286</v>
      </c>
      <c r="D28" s="319"/>
      <c r="E28" s="319"/>
      <c r="F28" s="319"/>
      <c r="G28" s="319"/>
      <c r="H28" s="319"/>
      <c r="I28" s="320"/>
      <c r="J28" s="36"/>
      <c r="K28" s="220"/>
    </row>
    <row r="29" spans="1:11" x14ac:dyDescent="0.25">
      <c r="A29" s="157" t="s">
        <v>50</v>
      </c>
      <c r="B29" s="171" t="s">
        <v>51</v>
      </c>
      <c r="C29" s="37"/>
      <c r="D29" s="186"/>
      <c r="E29" s="161"/>
      <c r="F29" s="186"/>
      <c r="G29" s="186"/>
      <c r="H29" s="186"/>
      <c r="I29" s="186"/>
      <c r="J29" s="36"/>
      <c r="K29" s="220"/>
    </row>
    <row r="30" spans="1:11" x14ac:dyDescent="0.25">
      <c r="A30" s="12"/>
      <c r="B30" s="18"/>
      <c r="C30" s="37">
        <v>15.5</v>
      </c>
      <c r="D30" s="186"/>
      <c r="E30" s="159" t="s">
        <v>52</v>
      </c>
      <c r="F30" s="186"/>
      <c r="G30" s="186"/>
      <c r="H30" s="186"/>
      <c r="I30" s="186"/>
      <c r="J30" s="303" t="s">
        <v>285</v>
      </c>
      <c r="K30" s="304"/>
    </row>
    <row r="31" spans="1:11" x14ac:dyDescent="0.25">
      <c r="A31" s="12"/>
      <c r="B31" s="18"/>
      <c r="C31" s="37">
        <v>1000</v>
      </c>
      <c r="D31" s="186" t="s">
        <v>16</v>
      </c>
      <c r="E31" s="159">
        <f>C30</f>
        <v>15.5</v>
      </c>
      <c r="F31" s="186"/>
      <c r="G31" s="186" t="s">
        <v>21</v>
      </c>
      <c r="H31" s="159">
        <f>C31*E31</f>
        <v>15500</v>
      </c>
      <c r="I31" s="186" t="s">
        <v>3</v>
      </c>
      <c r="J31" s="36"/>
      <c r="K31" s="220"/>
    </row>
    <row r="32" spans="1:11" x14ac:dyDescent="0.25">
      <c r="A32" s="12"/>
      <c r="B32" s="18"/>
      <c r="C32" s="37" t="s">
        <v>53</v>
      </c>
      <c r="D32" s="186"/>
      <c r="E32" s="159"/>
      <c r="F32" s="186"/>
      <c r="G32" s="186" t="s">
        <v>21</v>
      </c>
      <c r="H32" s="159">
        <f>H31*0.6</f>
        <v>9300</v>
      </c>
      <c r="I32" s="186" t="s">
        <v>3</v>
      </c>
      <c r="J32" s="36"/>
      <c r="K32" s="220"/>
    </row>
    <row r="33" spans="1:11" x14ac:dyDescent="0.25">
      <c r="A33" s="12"/>
      <c r="B33" s="18"/>
      <c r="C33" s="37"/>
      <c r="D33" s="186"/>
      <c r="E33" s="159"/>
      <c r="F33" s="186"/>
      <c r="G33" s="186"/>
      <c r="H33" s="159"/>
      <c r="I33" s="186"/>
      <c r="J33" s="36"/>
      <c r="K33" s="220"/>
    </row>
    <row r="34" spans="1:11" ht="18" customHeight="1" x14ac:dyDescent="0.25">
      <c r="A34" s="12"/>
      <c r="B34" s="18"/>
      <c r="C34" s="313" t="s">
        <v>54</v>
      </c>
      <c r="D34" s="314"/>
      <c r="E34" s="314"/>
      <c r="F34" s="218"/>
      <c r="G34" s="186"/>
      <c r="H34" s="186">
        <f>0.45*0.45*0.45</f>
        <v>9.1125000000000012E-2</v>
      </c>
      <c r="I34" s="186" t="s">
        <v>3</v>
      </c>
      <c r="J34" s="36"/>
      <c r="K34" s="220"/>
    </row>
    <row r="35" spans="1:11" ht="18" customHeight="1" x14ac:dyDescent="0.25">
      <c r="A35" s="183"/>
      <c r="B35" s="18"/>
      <c r="C35" s="313" t="s">
        <v>55</v>
      </c>
      <c r="D35" s="314"/>
      <c r="E35" s="314"/>
      <c r="F35" s="186"/>
      <c r="G35" s="186"/>
      <c r="H35" s="69">
        <f>H32/H34</f>
        <v>102057.61316872427</v>
      </c>
      <c r="I35" s="69" t="s">
        <v>18</v>
      </c>
      <c r="J35" s="73">
        <f>102058</f>
        <v>102058</v>
      </c>
      <c r="K35" s="222" t="s">
        <v>230</v>
      </c>
    </row>
    <row r="36" spans="1:11" ht="18" customHeight="1" x14ac:dyDescent="0.25">
      <c r="A36" s="183"/>
      <c r="B36" s="18"/>
      <c r="C36" s="158"/>
      <c r="D36" s="159"/>
      <c r="E36" s="159"/>
      <c r="F36" s="218"/>
      <c r="G36" s="186"/>
      <c r="H36" s="186"/>
      <c r="I36" s="186"/>
      <c r="J36" s="36"/>
      <c r="K36" s="220"/>
    </row>
    <row r="37" spans="1:11" ht="18" customHeight="1" x14ac:dyDescent="0.25">
      <c r="A37" s="183"/>
      <c r="B37" s="18"/>
      <c r="C37" s="321" t="s">
        <v>300</v>
      </c>
      <c r="D37" s="322"/>
      <c r="E37" s="322"/>
      <c r="F37" s="218"/>
      <c r="G37" s="186"/>
      <c r="H37" s="186"/>
      <c r="I37" s="186"/>
      <c r="J37" s="36"/>
      <c r="K37" s="220"/>
    </row>
    <row r="38" spans="1:11" ht="24" customHeight="1" x14ac:dyDescent="0.25">
      <c r="A38" s="183"/>
      <c r="B38" s="18"/>
      <c r="C38" s="37">
        <v>4</v>
      </c>
      <c r="D38" s="186"/>
      <c r="E38" s="159" t="s">
        <v>52</v>
      </c>
      <c r="F38" s="186"/>
      <c r="G38" s="186"/>
      <c r="H38" s="186"/>
      <c r="I38" s="186"/>
      <c r="J38" s="140"/>
      <c r="K38" s="223"/>
    </row>
    <row r="39" spans="1:11" ht="24" customHeight="1" x14ac:dyDescent="0.25">
      <c r="A39" s="12"/>
      <c r="B39" s="68"/>
      <c r="C39" s="37">
        <v>60</v>
      </c>
      <c r="D39" s="186" t="s">
        <v>16</v>
      </c>
      <c r="E39" s="159">
        <f>C38</f>
        <v>4</v>
      </c>
      <c r="F39" s="186"/>
      <c r="G39" s="186" t="s">
        <v>21</v>
      </c>
      <c r="H39" s="159">
        <f>C39*E39</f>
        <v>240</v>
      </c>
      <c r="I39" s="186" t="s">
        <v>3</v>
      </c>
      <c r="J39" s="140"/>
      <c r="K39" s="223"/>
    </row>
    <row r="40" spans="1:11" ht="24" customHeight="1" x14ac:dyDescent="0.25">
      <c r="A40" s="12"/>
      <c r="B40" s="68"/>
      <c r="C40" s="37" t="s">
        <v>53</v>
      </c>
      <c r="D40" s="186"/>
      <c r="E40" s="159"/>
      <c r="F40" s="186"/>
      <c r="G40" s="186" t="s">
        <v>21</v>
      </c>
      <c r="H40" s="159">
        <f>H39*0.6</f>
        <v>144</v>
      </c>
      <c r="I40" s="186" t="s">
        <v>3</v>
      </c>
      <c r="J40" s="140"/>
      <c r="K40" s="223"/>
    </row>
    <row r="41" spans="1:11" ht="24" customHeight="1" x14ac:dyDescent="0.25">
      <c r="A41" s="12"/>
      <c r="B41" s="68"/>
      <c r="C41" s="313" t="s">
        <v>54</v>
      </c>
      <c r="D41" s="314"/>
      <c r="E41" s="314"/>
      <c r="F41" s="218"/>
      <c r="G41" s="186"/>
      <c r="H41" s="186">
        <f>0.45*0.45*0.45</f>
        <v>9.1125000000000012E-2</v>
      </c>
      <c r="I41" s="186" t="s">
        <v>3</v>
      </c>
      <c r="J41" s="140"/>
      <c r="K41" s="223"/>
    </row>
    <row r="42" spans="1:11" ht="24" customHeight="1" x14ac:dyDescent="0.25">
      <c r="A42" s="12"/>
      <c r="B42" s="68"/>
      <c r="C42" s="313" t="s">
        <v>55</v>
      </c>
      <c r="D42" s="314"/>
      <c r="E42" s="314"/>
      <c r="F42" s="186"/>
      <c r="G42" s="186"/>
      <c r="H42" s="69">
        <f>H40/H41</f>
        <v>1580.2469135802467</v>
      </c>
      <c r="I42" s="69" t="s">
        <v>18</v>
      </c>
      <c r="J42" s="140">
        <v>1580</v>
      </c>
      <c r="K42" s="223" t="s">
        <v>230</v>
      </c>
    </row>
    <row r="43" spans="1:11" ht="24" customHeight="1" x14ac:dyDescent="0.25">
      <c r="A43" s="12"/>
      <c r="B43" s="68"/>
      <c r="C43" s="305" t="s">
        <v>267</v>
      </c>
      <c r="D43" s="306"/>
      <c r="E43" s="306"/>
      <c r="F43" s="306"/>
      <c r="G43" s="306"/>
      <c r="H43" s="306"/>
      <c r="I43" s="69"/>
      <c r="J43" s="140"/>
      <c r="K43" s="223"/>
    </row>
    <row r="44" spans="1:11" ht="24" customHeight="1" x14ac:dyDescent="0.25">
      <c r="A44" s="12"/>
      <c r="B44" s="68"/>
      <c r="C44" s="150" t="s">
        <v>268</v>
      </c>
      <c r="D44" s="149" t="s">
        <v>21</v>
      </c>
      <c r="E44" s="190">
        <v>500</v>
      </c>
      <c r="F44" s="125">
        <v>6</v>
      </c>
      <c r="G44" s="125" t="s">
        <v>21</v>
      </c>
      <c r="H44" s="151">
        <f>E44*F44</f>
        <v>3000</v>
      </c>
      <c r="I44" s="151" t="s">
        <v>46</v>
      </c>
      <c r="J44" s="140"/>
      <c r="K44" s="223"/>
    </row>
    <row r="45" spans="1:11" ht="24" customHeight="1" x14ac:dyDescent="0.25">
      <c r="A45" s="12"/>
      <c r="B45" s="68"/>
      <c r="C45" s="305" t="s">
        <v>55</v>
      </c>
      <c r="D45" s="306"/>
      <c r="E45" s="306"/>
      <c r="F45" s="186"/>
      <c r="G45" s="186" t="s">
        <v>21</v>
      </c>
      <c r="H45" s="151">
        <f>H44/0.45^2</f>
        <v>14814.814814814814</v>
      </c>
      <c r="I45" s="151" t="s">
        <v>230</v>
      </c>
      <c r="J45" s="140">
        <v>14815</v>
      </c>
      <c r="K45" s="223" t="s">
        <v>230</v>
      </c>
    </row>
    <row r="46" spans="1:11" ht="24" customHeight="1" x14ac:dyDescent="0.25">
      <c r="A46" s="12"/>
      <c r="B46" s="68"/>
      <c r="C46" s="158"/>
      <c r="D46" s="186"/>
      <c r="E46" s="159"/>
      <c r="F46" s="186"/>
      <c r="G46" s="186"/>
      <c r="H46" s="69"/>
      <c r="I46" s="69"/>
      <c r="J46" s="140"/>
      <c r="K46" s="223"/>
    </row>
    <row r="47" spans="1:11" ht="24" customHeight="1" x14ac:dyDescent="0.25">
      <c r="A47" s="12"/>
      <c r="B47" s="68"/>
      <c r="C47" s="312" t="s">
        <v>270</v>
      </c>
      <c r="D47" s="311"/>
      <c r="E47" s="311"/>
      <c r="F47" s="186"/>
      <c r="G47" s="186"/>
      <c r="H47" s="69"/>
      <c r="I47" s="69"/>
      <c r="J47" s="140"/>
      <c r="K47" s="223"/>
    </row>
    <row r="48" spans="1:11" ht="24" customHeight="1" x14ac:dyDescent="0.25">
      <c r="A48" s="12"/>
      <c r="B48" s="68"/>
      <c r="C48" s="158">
        <v>5</v>
      </c>
      <c r="D48" s="186" t="s">
        <v>16</v>
      </c>
      <c r="E48" s="159" t="s">
        <v>269</v>
      </c>
      <c r="F48" s="186"/>
      <c r="G48" s="186" t="s">
        <v>21</v>
      </c>
      <c r="H48" s="69">
        <f>5*500/0.45</f>
        <v>5555.5555555555557</v>
      </c>
      <c r="I48" s="69" t="s">
        <v>230</v>
      </c>
      <c r="J48" s="140">
        <v>5555</v>
      </c>
      <c r="K48" s="223" t="s">
        <v>230</v>
      </c>
    </row>
    <row r="49" spans="1:11" ht="24" customHeight="1" x14ac:dyDescent="0.25">
      <c r="A49" s="12"/>
      <c r="B49" s="68"/>
      <c r="C49" s="224"/>
      <c r="I49" s="69"/>
      <c r="J49" s="140"/>
      <c r="K49" s="223"/>
    </row>
    <row r="50" spans="1:11" ht="24" customHeight="1" x14ac:dyDescent="0.25">
      <c r="A50" s="12"/>
      <c r="B50" s="68"/>
      <c r="C50" s="323" t="s">
        <v>232</v>
      </c>
      <c r="D50" s="324"/>
      <c r="E50" s="324"/>
      <c r="F50" s="103"/>
      <c r="G50" s="186" t="s">
        <v>21</v>
      </c>
      <c r="H50" s="103">
        <f>H35+H42+H45+H48</f>
        <v>124008.23045267491</v>
      </c>
      <c r="I50" s="103"/>
      <c r="J50" s="140"/>
      <c r="K50" s="223"/>
    </row>
    <row r="51" spans="1:11" ht="24" customHeight="1" x14ac:dyDescent="0.25">
      <c r="A51" s="12"/>
      <c r="B51" s="68"/>
      <c r="C51" s="318" t="s">
        <v>287</v>
      </c>
      <c r="D51" s="319"/>
      <c r="E51" s="319"/>
      <c r="F51" s="319"/>
      <c r="G51" s="319"/>
      <c r="H51" s="319"/>
      <c r="I51" s="320"/>
      <c r="J51" s="140"/>
      <c r="K51" s="223"/>
    </row>
    <row r="52" spans="1:11" ht="24" customHeight="1" x14ac:dyDescent="0.25">
      <c r="A52" s="12"/>
      <c r="B52" s="68"/>
      <c r="C52" s="37">
        <v>15.5</v>
      </c>
      <c r="D52" s="186"/>
      <c r="E52" s="159" t="s">
        <v>52</v>
      </c>
      <c r="F52" s="186"/>
      <c r="G52" s="186"/>
      <c r="H52" s="393" t="s">
        <v>285</v>
      </c>
      <c r="I52" s="304"/>
      <c r="J52" s="144"/>
      <c r="K52" s="288"/>
    </row>
    <row r="53" spans="1:11" ht="24" customHeight="1" x14ac:dyDescent="0.25">
      <c r="A53" s="12"/>
      <c r="B53" s="68"/>
      <c r="C53" s="37">
        <v>1500</v>
      </c>
      <c r="D53" s="186" t="s">
        <v>16</v>
      </c>
      <c r="E53" s="159">
        <f>C52</f>
        <v>15.5</v>
      </c>
      <c r="F53" s="186"/>
      <c r="G53" s="186" t="s">
        <v>21</v>
      </c>
      <c r="H53" s="159">
        <f>C53*E53</f>
        <v>23250</v>
      </c>
      <c r="I53" s="186" t="s">
        <v>3</v>
      </c>
      <c r="J53" s="140"/>
      <c r="K53" s="223"/>
    </row>
    <row r="54" spans="1:11" ht="24" customHeight="1" x14ac:dyDescent="0.25">
      <c r="A54" s="12"/>
      <c r="B54" s="68"/>
      <c r="C54" s="37" t="s">
        <v>53</v>
      </c>
      <c r="D54" s="186"/>
      <c r="E54" s="159"/>
      <c r="F54" s="186"/>
      <c r="G54" s="186" t="s">
        <v>21</v>
      </c>
      <c r="H54" s="159">
        <f>H53*0.6</f>
        <v>13950</v>
      </c>
      <c r="I54" s="186" t="s">
        <v>3</v>
      </c>
      <c r="J54" s="140"/>
      <c r="K54" s="223"/>
    </row>
    <row r="55" spans="1:11" ht="24" customHeight="1" x14ac:dyDescent="0.25">
      <c r="A55" s="12"/>
      <c r="B55" s="68"/>
      <c r="C55" s="313" t="s">
        <v>54</v>
      </c>
      <c r="D55" s="314"/>
      <c r="E55" s="314"/>
      <c r="F55" s="218"/>
      <c r="G55" s="186"/>
      <c r="H55" s="186">
        <f>0.45*0.45*0.45</f>
        <v>9.1125000000000012E-2</v>
      </c>
      <c r="I55" s="186" t="s">
        <v>3</v>
      </c>
      <c r="J55" s="140"/>
      <c r="K55" s="223"/>
    </row>
    <row r="56" spans="1:11" ht="24" customHeight="1" x14ac:dyDescent="0.25">
      <c r="A56" s="12"/>
      <c r="B56" s="68"/>
      <c r="C56" s="313" t="s">
        <v>55</v>
      </c>
      <c r="D56" s="314"/>
      <c r="E56" s="314"/>
      <c r="F56" s="186"/>
      <c r="G56" s="186"/>
      <c r="H56" s="69">
        <f>H54/H55</f>
        <v>153086.4197530864</v>
      </c>
      <c r="I56" s="69" t="s">
        <v>18</v>
      </c>
      <c r="J56" s="140">
        <v>153086</v>
      </c>
      <c r="K56" s="223" t="s">
        <v>230</v>
      </c>
    </row>
    <row r="57" spans="1:11" ht="24" customHeight="1" x14ac:dyDescent="0.25">
      <c r="A57" s="12"/>
      <c r="B57" s="68"/>
      <c r="C57" s="158" t="s">
        <v>231</v>
      </c>
      <c r="D57" s="159"/>
      <c r="E57" s="159"/>
      <c r="F57" s="218"/>
      <c r="G57" s="186"/>
      <c r="H57" s="186"/>
      <c r="I57" s="186"/>
      <c r="J57" s="140"/>
      <c r="K57" s="223"/>
    </row>
    <row r="58" spans="1:11" ht="24" customHeight="1" x14ac:dyDescent="0.25">
      <c r="A58" s="12"/>
      <c r="B58" s="68"/>
      <c r="C58" s="37">
        <v>4</v>
      </c>
      <c r="D58" s="186"/>
      <c r="E58" s="159" t="s">
        <v>52</v>
      </c>
      <c r="F58" s="186"/>
      <c r="G58" s="186"/>
      <c r="H58" s="186"/>
      <c r="I58" s="186"/>
      <c r="J58" s="140"/>
      <c r="K58" s="223"/>
    </row>
    <row r="59" spans="1:11" ht="24" customHeight="1" x14ac:dyDescent="0.25">
      <c r="A59" s="12"/>
      <c r="B59" s="68"/>
      <c r="C59" s="37">
        <v>20</v>
      </c>
      <c r="D59" s="186" t="s">
        <v>16</v>
      </c>
      <c r="E59" s="159">
        <f>C58</f>
        <v>4</v>
      </c>
      <c r="F59" s="186"/>
      <c r="G59" s="186" t="s">
        <v>21</v>
      </c>
      <c r="H59" s="159">
        <f>C59*E59</f>
        <v>80</v>
      </c>
      <c r="I59" s="186" t="s">
        <v>3</v>
      </c>
      <c r="J59" s="140"/>
      <c r="K59" s="223"/>
    </row>
    <row r="60" spans="1:11" ht="24" customHeight="1" x14ac:dyDescent="0.25">
      <c r="A60" s="12"/>
      <c r="B60" s="68"/>
      <c r="C60" s="37" t="s">
        <v>53</v>
      </c>
      <c r="D60" s="186"/>
      <c r="E60" s="159"/>
      <c r="F60" s="186"/>
      <c r="G60" s="186" t="s">
        <v>21</v>
      </c>
      <c r="H60" s="159">
        <f>H59*0.6</f>
        <v>48</v>
      </c>
      <c r="I60" s="186" t="s">
        <v>3</v>
      </c>
      <c r="J60" s="140"/>
      <c r="K60" s="223"/>
    </row>
    <row r="61" spans="1:11" ht="24" customHeight="1" x14ac:dyDescent="0.25">
      <c r="A61" s="12"/>
      <c r="B61" s="68"/>
      <c r="C61" s="313" t="s">
        <v>54</v>
      </c>
      <c r="D61" s="314"/>
      <c r="E61" s="314"/>
      <c r="F61" s="218"/>
      <c r="G61" s="186"/>
      <c r="H61" s="186">
        <f>0.45*0.45*0.45</f>
        <v>9.1125000000000012E-2</v>
      </c>
      <c r="I61" s="186" t="s">
        <v>3</v>
      </c>
      <c r="J61" s="140"/>
      <c r="K61" s="223"/>
    </row>
    <row r="62" spans="1:11" ht="24" customHeight="1" x14ac:dyDescent="0.25">
      <c r="A62" s="12"/>
      <c r="B62" s="68"/>
      <c r="C62" s="313" t="s">
        <v>55</v>
      </c>
      <c r="D62" s="314"/>
      <c r="E62" s="314"/>
      <c r="F62" s="186"/>
      <c r="G62" s="186"/>
      <c r="H62" s="69">
        <f>H60/H61</f>
        <v>526.74897119341563</v>
      </c>
      <c r="I62" s="69" t="s">
        <v>18</v>
      </c>
      <c r="J62" s="140">
        <v>527</v>
      </c>
      <c r="K62" s="223" t="s">
        <v>230</v>
      </c>
    </row>
    <row r="63" spans="1:11" ht="24" customHeight="1" x14ac:dyDescent="0.25">
      <c r="A63" s="12"/>
      <c r="B63" s="68"/>
      <c r="C63" s="158"/>
      <c r="D63" s="159"/>
      <c r="E63" s="159" t="s">
        <v>154</v>
      </c>
      <c r="F63" s="186"/>
      <c r="G63" s="186"/>
      <c r="H63" s="69">
        <f>H56+H62</f>
        <v>153613.16872427982</v>
      </c>
      <c r="I63" s="69"/>
      <c r="J63" s="140"/>
      <c r="K63" s="223"/>
    </row>
    <row r="64" spans="1:11" ht="24" customHeight="1" x14ac:dyDescent="0.25">
      <c r="A64" s="12"/>
      <c r="B64" s="68"/>
      <c r="C64" s="158"/>
      <c r="D64" s="159"/>
      <c r="E64" s="159"/>
      <c r="F64" s="186"/>
      <c r="G64" s="186"/>
      <c r="H64" s="69"/>
      <c r="I64" s="69"/>
      <c r="J64" s="140"/>
      <c r="K64" s="223"/>
    </row>
    <row r="65" spans="1:11" ht="24" customHeight="1" x14ac:dyDescent="0.25">
      <c r="A65" s="12"/>
      <c r="B65" s="68"/>
      <c r="C65" s="191"/>
      <c r="D65" s="145"/>
      <c r="E65" s="145" t="s">
        <v>154</v>
      </c>
      <c r="F65" s="103"/>
      <c r="G65" s="186"/>
      <c r="H65" s="289">
        <f>SUM(J35:J63)</f>
        <v>277621</v>
      </c>
      <c r="I65" s="103" t="s">
        <v>18</v>
      </c>
      <c r="J65" s="140">
        <f>H65</f>
        <v>277621</v>
      </c>
      <c r="K65" s="223" t="s">
        <v>18</v>
      </c>
    </row>
    <row r="66" spans="1:11" ht="24" customHeight="1" x14ac:dyDescent="0.25">
      <c r="A66" s="12"/>
      <c r="B66" s="68"/>
      <c r="C66" s="187"/>
      <c r="D66" s="188"/>
      <c r="E66" s="188"/>
      <c r="F66" s="286"/>
      <c r="G66" s="17"/>
      <c r="H66" s="286"/>
      <c r="I66" s="287"/>
      <c r="J66" s="140"/>
      <c r="K66" s="223"/>
    </row>
    <row r="67" spans="1:11" ht="24" customHeight="1" x14ac:dyDescent="0.25">
      <c r="A67" s="71"/>
      <c r="B67" s="72"/>
      <c r="C67" s="318" t="s">
        <v>286</v>
      </c>
      <c r="D67" s="319"/>
      <c r="E67" s="319"/>
      <c r="F67" s="319"/>
      <c r="G67" s="319"/>
      <c r="H67" s="319"/>
      <c r="I67" s="320"/>
      <c r="J67" s="74"/>
      <c r="K67" s="225"/>
    </row>
    <row r="68" spans="1:11" ht="24" customHeight="1" x14ac:dyDescent="0.25">
      <c r="A68" s="12" t="s">
        <v>58</v>
      </c>
      <c r="B68" s="68" t="s">
        <v>59</v>
      </c>
      <c r="C68" s="37">
        <f>C30</f>
        <v>15.5</v>
      </c>
      <c r="D68" s="186"/>
      <c r="E68" s="159" t="s">
        <v>52</v>
      </c>
      <c r="F68" s="186"/>
      <c r="G68" s="186"/>
      <c r="H68" s="186"/>
      <c r="I68" s="186"/>
      <c r="J68" s="303" t="s">
        <v>285</v>
      </c>
      <c r="K68" s="304"/>
    </row>
    <row r="69" spans="1:11" ht="24" customHeight="1" x14ac:dyDescent="0.25">
      <c r="A69" s="12"/>
      <c r="B69" s="68"/>
      <c r="C69" s="37">
        <f>C31</f>
        <v>1000</v>
      </c>
      <c r="D69" s="186" t="s">
        <v>16</v>
      </c>
      <c r="E69" s="159">
        <f>C68</f>
        <v>15.5</v>
      </c>
      <c r="F69" s="186"/>
      <c r="G69" s="186" t="s">
        <v>21</v>
      </c>
      <c r="H69" s="159">
        <f>C69*E69</f>
        <v>15500</v>
      </c>
      <c r="I69" s="186" t="s">
        <v>3</v>
      </c>
      <c r="J69" s="36"/>
      <c r="K69" s="220"/>
    </row>
    <row r="70" spans="1:11" ht="24" customHeight="1" x14ac:dyDescent="0.25">
      <c r="A70" s="12"/>
      <c r="B70" s="68"/>
      <c r="C70" s="37" t="s">
        <v>57</v>
      </c>
      <c r="D70" s="186"/>
      <c r="E70" s="159"/>
      <c r="F70" s="186"/>
      <c r="G70" s="186" t="s">
        <v>21</v>
      </c>
      <c r="H70" s="159">
        <f>H69*0.4</f>
        <v>6200</v>
      </c>
      <c r="I70" s="186" t="s">
        <v>3</v>
      </c>
      <c r="J70" s="36"/>
      <c r="K70" s="220"/>
    </row>
    <row r="71" spans="1:11" ht="24" customHeight="1" x14ac:dyDescent="0.25">
      <c r="A71" s="12"/>
      <c r="B71" s="68"/>
      <c r="C71" s="313" t="s">
        <v>54</v>
      </c>
      <c r="D71" s="314"/>
      <c r="E71" s="314"/>
      <c r="F71" s="218"/>
      <c r="G71" s="186"/>
      <c r="H71" s="186">
        <f>0.35*0.35*0.35</f>
        <v>4.287499999999999E-2</v>
      </c>
      <c r="I71" s="186" t="s">
        <v>3</v>
      </c>
      <c r="J71" s="36"/>
      <c r="K71" s="220"/>
    </row>
    <row r="72" spans="1:11" ht="24" customHeight="1" x14ac:dyDescent="0.25">
      <c r="A72" s="12"/>
      <c r="B72" s="68"/>
      <c r="C72" s="313" t="s">
        <v>55</v>
      </c>
      <c r="D72" s="314"/>
      <c r="E72" s="314"/>
      <c r="F72" s="186"/>
      <c r="G72" s="186"/>
      <c r="H72" s="69">
        <f>H70/H71</f>
        <v>144606.41399416912</v>
      </c>
      <c r="I72" s="69" t="s">
        <v>18</v>
      </c>
      <c r="J72" s="36">
        <f>144607</f>
        <v>144607</v>
      </c>
      <c r="K72" s="220" t="s">
        <v>230</v>
      </c>
    </row>
    <row r="73" spans="1:11" ht="24" customHeight="1" x14ac:dyDescent="0.25">
      <c r="A73" s="12"/>
      <c r="B73" s="68"/>
      <c r="C73" s="141" t="s">
        <v>231</v>
      </c>
      <c r="D73" s="159"/>
      <c r="E73" s="159"/>
      <c r="F73" s="218"/>
      <c r="G73" s="186"/>
      <c r="H73" s="186"/>
      <c r="I73" s="186"/>
      <c r="J73" s="36"/>
      <c r="K73" s="220"/>
    </row>
    <row r="74" spans="1:11" ht="24" customHeight="1" x14ac:dyDescent="0.25">
      <c r="A74" s="12"/>
      <c r="B74" s="68"/>
      <c r="C74" s="37">
        <v>4</v>
      </c>
      <c r="D74" s="186"/>
      <c r="E74" s="159" t="s">
        <v>52</v>
      </c>
      <c r="F74" s="186"/>
      <c r="G74" s="186"/>
      <c r="H74" s="186"/>
      <c r="I74" s="186"/>
      <c r="J74" s="36"/>
      <c r="K74" s="220"/>
    </row>
    <row r="75" spans="1:11" ht="24" customHeight="1" x14ac:dyDescent="0.25">
      <c r="A75" s="12"/>
      <c r="B75" s="68"/>
      <c r="C75" s="37">
        <v>60</v>
      </c>
      <c r="D75" s="186" t="s">
        <v>16</v>
      </c>
      <c r="E75" s="159">
        <f>C74</f>
        <v>4</v>
      </c>
      <c r="F75" s="186"/>
      <c r="G75" s="186" t="s">
        <v>21</v>
      </c>
      <c r="H75" s="159">
        <f>C75*E75</f>
        <v>240</v>
      </c>
      <c r="I75" s="186" t="s">
        <v>3</v>
      </c>
      <c r="J75" s="36"/>
      <c r="K75" s="220"/>
    </row>
    <row r="76" spans="1:11" ht="24" customHeight="1" x14ac:dyDescent="0.25">
      <c r="A76" s="12"/>
      <c r="B76" s="68"/>
      <c r="C76" s="37" t="s">
        <v>57</v>
      </c>
      <c r="D76" s="186"/>
      <c r="E76" s="159"/>
      <c r="F76" s="186"/>
      <c r="G76" s="186" t="s">
        <v>21</v>
      </c>
      <c r="H76" s="159">
        <f>H75*0.4</f>
        <v>96</v>
      </c>
      <c r="I76" s="186" t="s">
        <v>3</v>
      </c>
      <c r="J76" s="36"/>
      <c r="K76" s="220"/>
    </row>
    <row r="77" spans="1:11" ht="24" customHeight="1" x14ac:dyDescent="0.25">
      <c r="A77" s="12"/>
      <c r="B77" s="68"/>
      <c r="C77" s="313" t="s">
        <v>54</v>
      </c>
      <c r="D77" s="314"/>
      <c r="E77" s="314"/>
      <c r="F77" s="218"/>
      <c r="G77" s="186"/>
      <c r="H77" s="186">
        <f>0.35*0.35*0.35</f>
        <v>4.287499999999999E-2</v>
      </c>
      <c r="I77" s="186" t="s">
        <v>3</v>
      </c>
      <c r="J77" s="73"/>
      <c r="K77" s="226"/>
    </row>
    <row r="78" spans="1:11" ht="24" customHeight="1" x14ac:dyDescent="0.25">
      <c r="A78" s="12"/>
      <c r="B78" s="142"/>
      <c r="C78" s="314" t="s">
        <v>55</v>
      </c>
      <c r="D78" s="314"/>
      <c r="E78" s="314"/>
      <c r="F78" s="186"/>
      <c r="G78" s="186"/>
      <c r="H78" s="69">
        <f>H76/H77</f>
        <v>2239.0670553935865</v>
      </c>
      <c r="I78" s="69" t="s">
        <v>18</v>
      </c>
      <c r="J78" s="73">
        <v>2239</v>
      </c>
      <c r="K78" s="222" t="s">
        <v>230</v>
      </c>
    </row>
    <row r="79" spans="1:11" ht="24" customHeight="1" x14ac:dyDescent="0.25">
      <c r="A79" s="12"/>
      <c r="B79" s="68"/>
      <c r="C79" s="158"/>
      <c r="D79" s="159"/>
      <c r="E79" s="159"/>
      <c r="F79" s="186"/>
      <c r="G79" s="186"/>
      <c r="H79" s="69"/>
      <c r="I79" s="69"/>
      <c r="J79" s="73"/>
      <c r="K79" s="222"/>
    </row>
    <row r="80" spans="1:11" ht="24" customHeight="1" x14ac:dyDescent="0.25">
      <c r="A80" s="12"/>
      <c r="B80" s="68"/>
      <c r="C80" s="158" t="s">
        <v>22</v>
      </c>
      <c r="D80" s="159"/>
      <c r="E80" s="159"/>
      <c r="F80" s="186"/>
      <c r="G80" s="186"/>
      <c r="H80" s="69">
        <f>H72+H78</f>
        <v>146845.48104956272</v>
      </c>
      <c r="I80" s="69"/>
      <c r="J80" s="73"/>
      <c r="K80" s="222"/>
    </row>
    <row r="81" spans="1:11" ht="24" customHeight="1" x14ac:dyDescent="0.25">
      <c r="A81" s="12"/>
      <c r="B81" s="68"/>
      <c r="C81" s="318" t="s">
        <v>287</v>
      </c>
      <c r="D81" s="319"/>
      <c r="E81" s="319"/>
      <c r="F81" s="319"/>
      <c r="G81" s="319"/>
      <c r="H81" s="319"/>
      <c r="I81" s="320"/>
      <c r="J81" s="73"/>
      <c r="K81" s="222"/>
    </row>
    <row r="82" spans="1:11" ht="24" customHeight="1" x14ac:dyDescent="0.25">
      <c r="A82" s="12"/>
      <c r="B82" s="68"/>
      <c r="C82" s="37">
        <v>15.5</v>
      </c>
      <c r="D82" s="186"/>
      <c r="E82" s="159" t="s">
        <v>52</v>
      </c>
      <c r="F82" s="186"/>
      <c r="G82" s="186"/>
      <c r="H82" s="186"/>
      <c r="I82" s="186"/>
      <c r="J82" s="73"/>
      <c r="K82" s="222"/>
    </row>
    <row r="83" spans="1:11" ht="24" customHeight="1" x14ac:dyDescent="0.25">
      <c r="A83" s="12"/>
      <c r="B83" s="68"/>
      <c r="C83" s="37">
        <v>1500</v>
      </c>
      <c r="D83" s="186" t="s">
        <v>16</v>
      </c>
      <c r="E83" s="159">
        <f>C82</f>
        <v>15.5</v>
      </c>
      <c r="F83" s="186"/>
      <c r="G83" s="186" t="s">
        <v>21</v>
      </c>
      <c r="H83" s="159">
        <f>C83*E83</f>
        <v>23250</v>
      </c>
      <c r="I83" s="186" t="s">
        <v>3</v>
      </c>
      <c r="J83" s="73"/>
      <c r="K83" s="222"/>
    </row>
    <row r="84" spans="1:11" ht="24" customHeight="1" x14ac:dyDescent="0.25">
      <c r="A84" s="12"/>
      <c r="B84" s="68"/>
      <c r="C84" s="37" t="s">
        <v>57</v>
      </c>
      <c r="D84" s="186"/>
      <c r="E84" s="159"/>
      <c r="F84" s="186"/>
      <c r="G84" s="186" t="s">
        <v>21</v>
      </c>
      <c r="H84" s="159">
        <f>H83*0.4</f>
        <v>9300</v>
      </c>
      <c r="I84" s="186" t="s">
        <v>3</v>
      </c>
      <c r="J84" s="73"/>
      <c r="K84" s="222"/>
    </row>
    <row r="85" spans="1:11" ht="24" customHeight="1" x14ac:dyDescent="0.25">
      <c r="A85" s="12"/>
      <c r="B85" s="68"/>
      <c r="C85" s="313" t="s">
        <v>54</v>
      </c>
      <c r="D85" s="314"/>
      <c r="E85" s="314"/>
      <c r="F85" s="218"/>
      <c r="G85" s="186"/>
      <c r="H85" s="186">
        <f>0.35*0.35*0.35</f>
        <v>4.287499999999999E-2</v>
      </c>
      <c r="I85" s="186" t="s">
        <v>3</v>
      </c>
      <c r="J85" s="73"/>
      <c r="K85" s="222"/>
    </row>
    <row r="86" spans="1:11" ht="24" customHeight="1" x14ac:dyDescent="0.25">
      <c r="A86" s="12"/>
      <c r="B86" s="68"/>
      <c r="C86" s="313" t="s">
        <v>55</v>
      </c>
      <c r="D86" s="314"/>
      <c r="E86" s="314"/>
      <c r="F86" s="186"/>
      <c r="G86" s="186"/>
      <c r="H86" s="69">
        <f>H84/H85</f>
        <v>216909.6209912537</v>
      </c>
      <c r="I86" s="69" t="s">
        <v>18</v>
      </c>
      <c r="J86" s="73">
        <f>216909</f>
        <v>216909</v>
      </c>
      <c r="K86" s="222" t="s">
        <v>230</v>
      </c>
    </row>
    <row r="87" spans="1:11" ht="24" customHeight="1" x14ac:dyDescent="0.25">
      <c r="A87" s="12"/>
      <c r="B87" s="68"/>
      <c r="C87" s="141" t="s">
        <v>231</v>
      </c>
      <c r="D87" s="159"/>
      <c r="E87" s="159"/>
      <c r="F87" s="218"/>
      <c r="G87" s="186"/>
      <c r="H87" s="186"/>
      <c r="I87" s="186"/>
      <c r="J87" s="73"/>
      <c r="K87" s="222"/>
    </row>
    <row r="88" spans="1:11" ht="24" customHeight="1" x14ac:dyDescent="0.25">
      <c r="A88" s="12"/>
      <c r="B88" s="68"/>
      <c r="C88" s="37">
        <v>4</v>
      </c>
      <c r="D88" s="186"/>
      <c r="E88" s="159" t="s">
        <v>52</v>
      </c>
      <c r="F88" s="186"/>
      <c r="G88" s="186"/>
      <c r="H88" s="186"/>
      <c r="I88" s="186"/>
      <c r="J88" s="73"/>
      <c r="K88" s="222"/>
    </row>
    <row r="89" spans="1:11" ht="24" customHeight="1" x14ac:dyDescent="0.25">
      <c r="A89" s="12"/>
      <c r="B89" s="68"/>
      <c r="C89" s="37">
        <v>20</v>
      </c>
      <c r="D89" s="186" t="s">
        <v>16</v>
      </c>
      <c r="E89" s="159">
        <f>C88</f>
        <v>4</v>
      </c>
      <c r="F89" s="186"/>
      <c r="G89" s="186" t="s">
        <v>21</v>
      </c>
      <c r="H89" s="159">
        <f>C89*E89</f>
        <v>80</v>
      </c>
      <c r="I89" s="186" t="s">
        <v>3</v>
      </c>
      <c r="J89" s="73"/>
      <c r="K89" s="222"/>
    </row>
    <row r="90" spans="1:11" ht="24" customHeight="1" x14ac:dyDescent="0.25">
      <c r="A90" s="12"/>
      <c r="B90" s="68"/>
      <c r="C90" s="37" t="s">
        <v>57</v>
      </c>
      <c r="D90" s="186"/>
      <c r="E90" s="159"/>
      <c r="F90" s="186"/>
      <c r="G90" s="186" t="s">
        <v>21</v>
      </c>
      <c r="H90" s="159">
        <f>H89*0.4</f>
        <v>32</v>
      </c>
      <c r="I90" s="186" t="s">
        <v>3</v>
      </c>
      <c r="J90" s="73"/>
      <c r="K90" s="222"/>
    </row>
    <row r="91" spans="1:11" ht="24" customHeight="1" x14ac:dyDescent="0.25">
      <c r="A91" s="12"/>
      <c r="B91" s="68"/>
      <c r="C91" s="313" t="s">
        <v>54</v>
      </c>
      <c r="D91" s="314"/>
      <c r="E91" s="314"/>
      <c r="F91" s="218"/>
      <c r="G91" s="186"/>
      <c r="H91" s="186">
        <f>0.35*0.35*0.35</f>
        <v>4.287499999999999E-2</v>
      </c>
      <c r="I91" s="186" t="s">
        <v>3</v>
      </c>
      <c r="J91" s="73"/>
      <c r="K91" s="222"/>
    </row>
    <row r="92" spans="1:11" ht="24" customHeight="1" x14ac:dyDescent="0.25">
      <c r="A92" s="12"/>
      <c r="B92" s="70"/>
      <c r="C92" s="314" t="s">
        <v>55</v>
      </c>
      <c r="D92" s="314"/>
      <c r="E92" s="314"/>
      <c r="F92" s="186"/>
      <c r="G92" s="186"/>
      <c r="H92" s="69">
        <f>H90/H91</f>
        <v>746.35568513119551</v>
      </c>
      <c r="I92" s="69" t="s">
        <v>18</v>
      </c>
      <c r="J92" s="73">
        <v>746</v>
      </c>
      <c r="K92" s="222" t="s">
        <v>230</v>
      </c>
    </row>
    <row r="93" spans="1:11" ht="24" customHeight="1" x14ac:dyDescent="0.25">
      <c r="A93" s="12"/>
      <c r="B93" s="68"/>
      <c r="C93" s="158"/>
      <c r="D93" s="159"/>
      <c r="E93" s="159" t="s">
        <v>154</v>
      </c>
      <c r="F93" s="186"/>
      <c r="G93" s="186"/>
      <c r="H93" s="69">
        <f>H86+H92</f>
        <v>217655.97667638489</v>
      </c>
      <c r="I93" s="69"/>
      <c r="J93" s="73"/>
      <c r="K93" s="222"/>
    </row>
    <row r="94" spans="1:11" ht="24" customHeight="1" x14ac:dyDescent="0.25">
      <c r="A94" s="12"/>
      <c r="B94" s="68"/>
      <c r="C94" s="158"/>
      <c r="D94" s="159"/>
      <c r="E94" s="159"/>
      <c r="F94" s="186"/>
      <c r="G94" s="186"/>
      <c r="H94" s="69"/>
      <c r="I94" s="69"/>
      <c r="J94" s="73"/>
      <c r="K94" s="222"/>
    </row>
    <row r="95" spans="1:11" ht="24" customHeight="1" x14ac:dyDescent="0.25">
      <c r="A95" s="12"/>
      <c r="B95" s="68"/>
      <c r="C95" s="158"/>
      <c r="D95" s="159"/>
      <c r="E95" s="311" t="s">
        <v>297</v>
      </c>
      <c r="F95" s="311"/>
      <c r="G95" s="311"/>
      <c r="H95" s="290">
        <f>SUM(J72:J92)</f>
        <v>364501</v>
      </c>
      <c r="I95" s="69"/>
      <c r="J95" s="73">
        <f>H95</f>
        <v>364501</v>
      </c>
      <c r="K95" s="222" t="s">
        <v>230</v>
      </c>
    </row>
    <row r="96" spans="1:11" ht="24" customHeight="1" x14ac:dyDescent="0.25">
      <c r="A96" s="12"/>
      <c r="B96" s="68"/>
      <c r="C96" s="164"/>
      <c r="D96" s="165"/>
      <c r="E96" s="165"/>
      <c r="F96" s="17"/>
      <c r="G96" s="17"/>
      <c r="H96" s="291"/>
      <c r="I96" s="292"/>
      <c r="J96" s="73"/>
      <c r="K96" s="222"/>
    </row>
    <row r="97" spans="1:11" ht="24" customHeight="1" x14ac:dyDescent="0.25">
      <c r="A97" s="71" t="s">
        <v>233</v>
      </c>
      <c r="B97" s="72" t="s">
        <v>224</v>
      </c>
      <c r="C97" s="318" t="s">
        <v>286</v>
      </c>
      <c r="D97" s="319"/>
      <c r="E97" s="319"/>
      <c r="F97" s="319"/>
      <c r="G97" s="319"/>
      <c r="H97" s="319"/>
      <c r="I97" s="320"/>
      <c r="J97" s="74"/>
      <c r="K97" s="225"/>
    </row>
    <row r="98" spans="1:11" ht="24" customHeight="1" x14ac:dyDescent="0.25">
      <c r="A98" s="12"/>
      <c r="B98" s="68"/>
      <c r="C98" s="313" t="s">
        <v>263</v>
      </c>
      <c r="D98" s="314"/>
      <c r="E98" s="314"/>
      <c r="F98" s="314"/>
      <c r="G98" s="314"/>
      <c r="H98" s="314"/>
      <c r="I98" s="69"/>
      <c r="J98" s="73"/>
      <c r="K98" s="222"/>
    </row>
    <row r="99" spans="1:11" ht="24" customHeight="1" x14ac:dyDescent="0.25">
      <c r="A99" s="12"/>
      <c r="B99" s="68"/>
      <c r="C99" s="158" t="s">
        <v>60</v>
      </c>
      <c r="D99" s="159"/>
      <c r="E99" s="159">
        <f>SQRT(2.5^2+5^2)</f>
        <v>5.5901699437494745</v>
      </c>
      <c r="F99" s="186" t="s">
        <v>6</v>
      </c>
      <c r="G99" s="186"/>
      <c r="H99" s="69"/>
      <c r="I99" s="69"/>
      <c r="J99" s="73"/>
      <c r="K99" s="222"/>
    </row>
    <row r="100" spans="1:11" ht="24" customHeight="1" x14ac:dyDescent="0.25">
      <c r="A100" s="12"/>
      <c r="B100" s="68"/>
      <c r="C100" s="158" t="s">
        <v>61</v>
      </c>
      <c r="D100" s="159"/>
      <c r="E100" s="159">
        <v>1.2</v>
      </c>
      <c r="F100" s="186" t="s">
        <v>6</v>
      </c>
      <c r="G100" s="186"/>
      <c r="H100" s="69"/>
      <c r="I100" s="69"/>
      <c r="J100" s="73"/>
      <c r="K100" s="222"/>
    </row>
    <row r="101" spans="1:11" ht="24" customHeight="1" x14ac:dyDescent="0.25">
      <c r="A101" s="12"/>
      <c r="B101" s="68"/>
      <c r="C101" s="158"/>
      <c r="D101" s="159"/>
      <c r="E101" s="159">
        <f>SUM(E99:E100)</f>
        <v>6.7901699437494747</v>
      </c>
      <c r="F101" s="186" t="s">
        <v>6</v>
      </c>
      <c r="G101" s="186"/>
      <c r="H101" s="69"/>
      <c r="I101" s="69"/>
      <c r="J101" s="73"/>
      <c r="K101" s="222"/>
    </row>
    <row r="102" spans="1:11" ht="24" customHeight="1" x14ac:dyDescent="0.25">
      <c r="A102" s="12"/>
      <c r="B102" s="68"/>
      <c r="C102" s="158"/>
      <c r="D102" s="159"/>
      <c r="E102" s="159"/>
      <c r="F102" s="186"/>
      <c r="G102" s="186"/>
      <c r="H102" s="69"/>
      <c r="I102" s="69"/>
      <c r="J102" s="73"/>
      <c r="K102" s="222"/>
    </row>
    <row r="103" spans="1:11" ht="24" customHeight="1" x14ac:dyDescent="0.25">
      <c r="A103" s="12"/>
      <c r="B103" s="68"/>
      <c r="C103" s="158" t="s">
        <v>47</v>
      </c>
      <c r="D103" s="159"/>
      <c r="E103" s="159"/>
      <c r="F103" s="186"/>
      <c r="G103" s="186"/>
      <c r="H103" s="69"/>
      <c r="I103" s="69"/>
      <c r="J103" s="73"/>
      <c r="K103" s="222"/>
    </row>
    <row r="104" spans="1:11" ht="24" customHeight="1" x14ac:dyDescent="0.25">
      <c r="A104" s="12"/>
      <c r="B104" s="68"/>
      <c r="C104" s="158">
        <v>540</v>
      </c>
      <c r="D104" s="159" t="s">
        <v>16</v>
      </c>
      <c r="E104" s="159">
        <f>E101</f>
        <v>6.7901699437494747</v>
      </c>
      <c r="F104" s="186"/>
      <c r="G104" s="186" t="s">
        <v>21</v>
      </c>
      <c r="H104" s="169">
        <f>C104*E104</f>
        <v>3666.6917696247165</v>
      </c>
      <c r="I104" s="179" t="s">
        <v>46</v>
      </c>
      <c r="J104" s="73"/>
      <c r="K104" s="222"/>
    </row>
    <row r="105" spans="1:11" ht="24" customHeight="1" x14ac:dyDescent="0.25">
      <c r="A105" s="12"/>
      <c r="B105" s="68"/>
      <c r="C105" s="312" t="s">
        <v>225</v>
      </c>
      <c r="D105" s="311"/>
      <c r="E105" s="311"/>
      <c r="F105" s="311"/>
      <c r="G105" s="186" t="s">
        <v>21</v>
      </c>
      <c r="H105" s="169">
        <f>0.4^2</f>
        <v>0.16000000000000003</v>
      </c>
      <c r="I105" s="179" t="s">
        <v>46</v>
      </c>
      <c r="J105" s="73"/>
      <c r="K105" s="222"/>
    </row>
    <row r="106" spans="1:11" ht="24" customHeight="1" x14ac:dyDescent="0.25">
      <c r="A106" s="12"/>
      <c r="B106" s="68"/>
      <c r="C106" s="313" t="s">
        <v>55</v>
      </c>
      <c r="D106" s="314"/>
      <c r="E106" s="314"/>
      <c r="F106" s="186"/>
      <c r="G106" s="186"/>
      <c r="H106" s="169">
        <f>H104/H105</f>
        <v>22916.823560154473</v>
      </c>
      <c r="I106" s="179" t="s">
        <v>18</v>
      </c>
      <c r="J106" s="73">
        <f>22917</f>
        <v>22917</v>
      </c>
      <c r="K106" s="222" t="s">
        <v>230</v>
      </c>
    </row>
    <row r="107" spans="1:11" ht="24" customHeight="1" x14ac:dyDescent="0.25">
      <c r="A107" s="12"/>
      <c r="B107" s="68"/>
      <c r="C107" s="158"/>
      <c r="D107" s="159"/>
      <c r="E107" s="159"/>
      <c r="F107" s="186"/>
      <c r="G107" s="186"/>
      <c r="H107" s="169"/>
      <c r="I107" s="179"/>
      <c r="J107" s="73"/>
      <c r="K107" s="222"/>
    </row>
    <row r="108" spans="1:11" ht="24" customHeight="1" x14ac:dyDescent="0.25">
      <c r="A108" s="12"/>
      <c r="B108" s="68"/>
      <c r="C108" s="312" t="s">
        <v>264</v>
      </c>
      <c r="D108" s="311"/>
      <c r="E108" s="311"/>
      <c r="F108" s="311"/>
      <c r="G108" s="311"/>
      <c r="H108" s="311"/>
      <c r="I108" s="179"/>
      <c r="J108" s="73"/>
      <c r="K108" s="222"/>
    </row>
    <row r="109" spans="1:11" ht="24.75" customHeight="1" x14ac:dyDescent="0.25">
      <c r="A109" s="12"/>
      <c r="B109" s="68"/>
      <c r="C109" s="158" t="s">
        <v>227</v>
      </c>
      <c r="D109" s="186" t="s">
        <v>21</v>
      </c>
      <c r="E109" s="159">
        <f>SQRT(3.5^2+ 7^2)</f>
        <v>7.8262379212492643</v>
      </c>
      <c r="F109" s="186" t="s">
        <v>6</v>
      </c>
      <c r="G109" s="186"/>
      <c r="H109" s="169"/>
      <c r="I109" s="179"/>
      <c r="J109" s="73"/>
      <c r="K109" s="222"/>
    </row>
    <row r="110" spans="1:11" ht="24" customHeight="1" x14ac:dyDescent="0.25">
      <c r="A110" s="12"/>
      <c r="B110" s="68"/>
      <c r="C110" s="158" t="s">
        <v>226</v>
      </c>
      <c r="D110" s="186" t="s">
        <v>21</v>
      </c>
      <c r="E110" s="159">
        <v>1.2</v>
      </c>
      <c r="F110" s="186" t="s">
        <v>6</v>
      </c>
      <c r="G110" s="186"/>
      <c r="H110" s="169"/>
      <c r="I110" s="179"/>
      <c r="J110" s="73"/>
      <c r="K110" s="222"/>
    </row>
    <row r="111" spans="1:11" ht="24" customHeight="1" x14ac:dyDescent="0.25">
      <c r="A111" s="12"/>
      <c r="B111" s="68"/>
      <c r="C111" s="158"/>
      <c r="D111" s="159"/>
      <c r="E111" s="159">
        <f>E109+E110</f>
        <v>9.0262379212492636</v>
      </c>
      <c r="F111" s="186"/>
      <c r="G111" s="186"/>
      <c r="H111" s="169"/>
      <c r="I111" s="179"/>
      <c r="J111" s="73"/>
      <c r="K111" s="222"/>
    </row>
    <row r="112" spans="1:11" ht="24" customHeight="1" x14ac:dyDescent="0.25">
      <c r="A112" s="12"/>
      <c r="B112" s="68"/>
      <c r="C112" s="158" t="s">
        <v>47</v>
      </c>
      <c r="D112" s="186"/>
      <c r="E112" s="159"/>
      <c r="F112" s="186"/>
      <c r="G112" s="186"/>
      <c r="H112" s="169"/>
      <c r="I112" s="179"/>
      <c r="J112" s="73"/>
      <c r="K112" s="222"/>
    </row>
    <row r="113" spans="1:11" ht="24" customHeight="1" x14ac:dyDescent="0.25">
      <c r="A113" s="12"/>
      <c r="B113" s="68"/>
      <c r="C113" s="158">
        <v>520</v>
      </c>
      <c r="D113" s="159" t="s">
        <v>16</v>
      </c>
      <c r="E113" s="159">
        <f>E111</f>
        <v>9.0262379212492636</v>
      </c>
      <c r="F113" s="186"/>
      <c r="G113" s="186" t="s">
        <v>21</v>
      </c>
      <c r="H113" s="169">
        <f>C113*E113</f>
        <v>4693.6437190496172</v>
      </c>
      <c r="I113" s="179" t="s">
        <v>46</v>
      </c>
      <c r="J113" s="73"/>
      <c r="K113" s="222"/>
    </row>
    <row r="114" spans="1:11" ht="24" customHeight="1" x14ac:dyDescent="0.25">
      <c r="A114" s="12"/>
      <c r="B114" s="68"/>
      <c r="C114" s="312" t="s">
        <v>225</v>
      </c>
      <c r="D114" s="311"/>
      <c r="E114" s="311"/>
      <c r="F114" s="311"/>
      <c r="G114" s="186" t="s">
        <v>21</v>
      </c>
      <c r="H114" s="169">
        <f>0.4^2</f>
        <v>0.16000000000000003</v>
      </c>
      <c r="I114" s="179" t="s">
        <v>46</v>
      </c>
      <c r="J114" s="73"/>
      <c r="K114" s="222"/>
    </row>
    <row r="115" spans="1:11" ht="24" customHeight="1" x14ac:dyDescent="0.25">
      <c r="A115" s="12"/>
      <c r="B115" s="68"/>
      <c r="C115" s="313" t="s">
        <v>55</v>
      </c>
      <c r="D115" s="314"/>
      <c r="E115" s="314"/>
      <c r="F115" s="186"/>
      <c r="G115" s="186"/>
      <c r="H115" s="169">
        <f>H113/H114</f>
        <v>29335.273244060103</v>
      </c>
      <c r="I115" s="179" t="s">
        <v>18</v>
      </c>
      <c r="J115" s="73">
        <v>29335</v>
      </c>
      <c r="K115" s="222" t="s">
        <v>230</v>
      </c>
    </row>
    <row r="116" spans="1:11" ht="24" customHeight="1" x14ac:dyDescent="0.25">
      <c r="A116" s="12"/>
      <c r="B116" s="68"/>
      <c r="C116" s="158" t="s">
        <v>228</v>
      </c>
      <c r="D116" s="159"/>
      <c r="E116" s="159"/>
      <c r="F116" s="186"/>
      <c r="G116" s="186"/>
      <c r="H116" s="169"/>
      <c r="I116" s="179"/>
      <c r="J116" s="73"/>
      <c r="K116" s="222"/>
    </row>
    <row r="117" spans="1:11" ht="24" customHeight="1" x14ac:dyDescent="0.25">
      <c r="A117" s="12"/>
      <c r="B117" s="68"/>
      <c r="C117" s="189">
        <v>1060</v>
      </c>
      <c r="D117" s="159" t="s">
        <v>229</v>
      </c>
      <c r="E117" s="159">
        <v>0.4</v>
      </c>
      <c r="F117" s="186"/>
      <c r="G117" s="186" t="s">
        <v>21</v>
      </c>
      <c r="H117" s="90">
        <f>C117/E117</f>
        <v>2650</v>
      </c>
      <c r="I117" s="69" t="s">
        <v>230</v>
      </c>
      <c r="J117" s="73">
        <v>2650</v>
      </c>
      <c r="K117" s="222" t="s">
        <v>230</v>
      </c>
    </row>
    <row r="118" spans="1:11" ht="24" customHeight="1" x14ac:dyDescent="0.25">
      <c r="A118" s="12"/>
      <c r="B118" s="68"/>
      <c r="C118" s="313"/>
      <c r="D118" s="314"/>
      <c r="E118" s="314"/>
      <c r="F118" s="314"/>
      <c r="G118" s="186"/>
      <c r="H118" s="169"/>
      <c r="I118" s="179"/>
      <c r="J118" s="73"/>
      <c r="K118" s="222"/>
    </row>
    <row r="119" spans="1:11" ht="24" customHeight="1" x14ac:dyDescent="0.25">
      <c r="A119" s="12"/>
      <c r="B119" s="68"/>
      <c r="C119" s="313" t="s">
        <v>216</v>
      </c>
      <c r="D119" s="314"/>
      <c r="E119" s="314"/>
      <c r="F119" s="186"/>
      <c r="G119" s="186"/>
      <c r="H119" s="169">
        <f>H106+H115+H117</f>
        <v>54902.096804214576</v>
      </c>
      <c r="I119" s="179" t="s">
        <v>18</v>
      </c>
      <c r="J119" s="73"/>
      <c r="K119" s="222"/>
    </row>
    <row r="120" spans="1:11" ht="24" customHeight="1" x14ac:dyDescent="0.25">
      <c r="A120" s="12"/>
      <c r="B120" s="68"/>
      <c r="C120" s="318" t="s">
        <v>287</v>
      </c>
      <c r="D120" s="319"/>
      <c r="E120" s="319"/>
      <c r="F120" s="319"/>
      <c r="G120" s="319"/>
      <c r="H120" s="319"/>
      <c r="I120" s="320"/>
      <c r="J120" s="194"/>
      <c r="K120" s="222"/>
    </row>
    <row r="121" spans="1:11" ht="24" customHeight="1" x14ac:dyDescent="0.25">
      <c r="A121" s="12"/>
      <c r="B121" s="68"/>
      <c r="C121" s="158" t="s">
        <v>227</v>
      </c>
      <c r="D121" s="186"/>
      <c r="E121" s="159">
        <f>SQRT(3.5^2+ 7^2)</f>
        <v>7.8262379212492643</v>
      </c>
      <c r="F121" s="186" t="s">
        <v>6</v>
      </c>
      <c r="G121" s="186"/>
      <c r="H121" s="169"/>
      <c r="I121" s="179"/>
      <c r="J121" s="73"/>
      <c r="K121" s="222"/>
    </row>
    <row r="122" spans="1:11" ht="24" customHeight="1" x14ac:dyDescent="0.25">
      <c r="A122" s="12"/>
      <c r="B122" s="68"/>
      <c r="C122" s="158" t="s">
        <v>226</v>
      </c>
      <c r="D122" s="186" t="s">
        <v>21</v>
      </c>
      <c r="E122" s="159">
        <v>1.2</v>
      </c>
      <c r="F122" s="186" t="s">
        <v>6</v>
      </c>
      <c r="G122" s="186"/>
      <c r="H122" s="169"/>
      <c r="I122" s="179"/>
      <c r="J122" s="73"/>
      <c r="K122" s="222"/>
    </row>
    <row r="123" spans="1:11" ht="24" customHeight="1" x14ac:dyDescent="0.25">
      <c r="A123" s="12"/>
      <c r="B123" s="68"/>
      <c r="C123" s="158"/>
      <c r="D123" s="159"/>
      <c r="E123" s="159">
        <f>E121+E122</f>
        <v>9.0262379212492636</v>
      </c>
      <c r="F123" s="186"/>
      <c r="G123" s="186"/>
      <c r="H123" s="169"/>
      <c r="I123" s="179"/>
      <c r="J123" s="73"/>
      <c r="K123" s="222"/>
    </row>
    <row r="124" spans="1:11" ht="24" customHeight="1" x14ac:dyDescent="0.25">
      <c r="A124" s="12"/>
      <c r="B124" s="68"/>
      <c r="C124" s="158" t="s">
        <v>47</v>
      </c>
      <c r="D124" s="186"/>
      <c r="E124" s="159"/>
      <c r="F124" s="186"/>
      <c r="G124" s="186"/>
      <c r="H124" s="169"/>
      <c r="I124" s="179"/>
      <c r="J124" s="73"/>
      <c r="K124" s="222"/>
    </row>
    <row r="125" spans="1:11" ht="24" customHeight="1" x14ac:dyDescent="0.25">
      <c r="A125" s="12"/>
      <c r="B125" s="68"/>
      <c r="C125" s="158">
        <v>1520</v>
      </c>
      <c r="D125" s="159" t="s">
        <v>16</v>
      </c>
      <c r="E125" s="159">
        <f>E123</f>
        <v>9.0262379212492636</v>
      </c>
      <c r="F125" s="186"/>
      <c r="G125" s="186" t="s">
        <v>21</v>
      </c>
      <c r="H125" s="169">
        <f>C125*E125</f>
        <v>13719.881640298881</v>
      </c>
      <c r="I125" s="179" t="s">
        <v>46</v>
      </c>
      <c r="J125" s="73"/>
      <c r="K125" s="222"/>
    </row>
    <row r="126" spans="1:11" ht="24" customHeight="1" x14ac:dyDescent="0.25">
      <c r="A126" s="12"/>
      <c r="B126" s="68"/>
      <c r="C126" s="312" t="s">
        <v>225</v>
      </c>
      <c r="D126" s="311"/>
      <c r="E126" s="311"/>
      <c r="F126" s="311"/>
      <c r="G126" s="186" t="s">
        <v>21</v>
      </c>
      <c r="H126" s="169">
        <f>0.4^2</f>
        <v>0.16000000000000003</v>
      </c>
      <c r="I126" s="179" t="s">
        <v>46</v>
      </c>
      <c r="J126" s="73"/>
      <c r="K126" s="222"/>
    </row>
    <row r="127" spans="1:11" ht="24" customHeight="1" x14ac:dyDescent="0.25">
      <c r="A127" s="12"/>
      <c r="B127" s="68"/>
      <c r="C127" s="313" t="s">
        <v>55</v>
      </c>
      <c r="D127" s="314"/>
      <c r="E127" s="314"/>
      <c r="F127" s="186"/>
      <c r="G127" s="186"/>
      <c r="H127" s="169">
        <f>H125/H126</f>
        <v>85749.260251867992</v>
      </c>
      <c r="I127" s="179" t="s">
        <v>18</v>
      </c>
      <c r="J127" s="73">
        <f>85750</f>
        <v>85750</v>
      </c>
      <c r="K127" s="222" t="s">
        <v>230</v>
      </c>
    </row>
    <row r="128" spans="1:11" ht="24" customHeight="1" x14ac:dyDescent="0.25">
      <c r="A128" s="12"/>
      <c r="B128" s="68"/>
      <c r="C128" s="312" t="s">
        <v>228</v>
      </c>
      <c r="D128" s="311"/>
      <c r="E128" s="311"/>
      <c r="F128" s="186"/>
      <c r="G128" s="186"/>
      <c r="H128" s="169"/>
      <c r="I128" s="179"/>
      <c r="J128" s="73"/>
      <c r="K128" s="222"/>
    </row>
    <row r="129" spans="1:11" ht="24" customHeight="1" x14ac:dyDescent="0.25">
      <c r="A129" s="12"/>
      <c r="B129" s="68"/>
      <c r="C129" s="189">
        <v>1520</v>
      </c>
      <c r="D129" s="159" t="s">
        <v>229</v>
      </c>
      <c r="E129" s="159">
        <v>0.4</v>
      </c>
      <c r="F129" s="186"/>
      <c r="G129" s="186" t="s">
        <v>21</v>
      </c>
      <c r="H129" s="90">
        <f>C129/E129</f>
        <v>3800</v>
      </c>
      <c r="I129" s="69" t="s">
        <v>230</v>
      </c>
      <c r="J129" s="73">
        <v>3800</v>
      </c>
      <c r="K129" s="222" t="s">
        <v>230</v>
      </c>
    </row>
    <row r="130" spans="1:11" ht="24" customHeight="1" x14ac:dyDescent="0.25">
      <c r="A130" s="12"/>
      <c r="B130" s="68"/>
      <c r="C130" s="313" t="s">
        <v>216</v>
      </c>
      <c r="D130" s="314"/>
      <c r="E130" s="314"/>
      <c r="F130" s="186"/>
      <c r="G130" s="186"/>
      <c r="H130" s="169">
        <f>H127+H129</f>
        <v>89549.260251867992</v>
      </c>
      <c r="I130" s="179"/>
      <c r="J130" s="73"/>
      <c r="K130" s="222"/>
    </row>
    <row r="131" spans="1:11" ht="24" customHeight="1" x14ac:dyDescent="0.25">
      <c r="A131" s="12"/>
      <c r="B131" s="68"/>
      <c r="C131" s="158"/>
      <c r="D131" s="159"/>
      <c r="E131" s="159" t="s">
        <v>154</v>
      </c>
      <c r="F131" s="186"/>
      <c r="G131" s="186"/>
      <c r="H131" s="169">
        <f>SUM(J106:J129)</f>
        <v>144452</v>
      </c>
      <c r="I131" s="61"/>
      <c r="J131" s="195">
        <f>H131</f>
        <v>144452</v>
      </c>
      <c r="K131" s="222" t="s">
        <v>230</v>
      </c>
    </row>
    <row r="132" spans="1:11" ht="24" customHeight="1" x14ac:dyDescent="0.25">
      <c r="A132" s="156" t="s">
        <v>187</v>
      </c>
      <c r="B132" s="340" t="s">
        <v>234</v>
      </c>
      <c r="C132" s="342"/>
      <c r="D132" s="343"/>
      <c r="E132" s="178"/>
      <c r="F132" s="44"/>
      <c r="G132" s="44"/>
      <c r="H132" s="44"/>
      <c r="I132" s="179"/>
      <c r="J132" s="35"/>
      <c r="K132" s="219"/>
    </row>
    <row r="133" spans="1:11" ht="24" customHeight="1" x14ac:dyDescent="0.25">
      <c r="A133" s="157"/>
      <c r="B133" s="341"/>
      <c r="C133" s="341"/>
      <c r="D133" s="365"/>
      <c r="E133" s="365"/>
      <c r="F133" s="365"/>
      <c r="G133" s="365"/>
      <c r="H133" s="365"/>
      <c r="I133" s="179"/>
      <c r="J133" s="33"/>
      <c r="K133" s="220"/>
    </row>
    <row r="134" spans="1:11" ht="24" customHeight="1" x14ac:dyDescent="0.25">
      <c r="A134" s="157"/>
      <c r="B134" s="341"/>
      <c r="C134" s="174"/>
      <c r="D134" s="83"/>
      <c r="E134" s="84"/>
      <c r="F134" s="227"/>
      <c r="G134" s="169"/>
      <c r="H134" s="179"/>
      <c r="I134" s="179"/>
      <c r="J134" s="33"/>
      <c r="K134" s="220"/>
    </row>
    <row r="135" spans="1:11" ht="12.75" customHeight="1" x14ac:dyDescent="0.25">
      <c r="A135" s="157"/>
      <c r="B135" s="341"/>
      <c r="C135" s="174"/>
      <c r="D135" s="83"/>
      <c r="E135" s="228"/>
      <c r="F135" s="85"/>
      <c r="G135" s="169"/>
      <c r="H135" s="179"/>
      <c r="I135" s="179"/>
      <c r="J135" s="33"/>
      <c r="K135" s="220"/>
    </row>
    <row r="136" spans="1:11" ht="24" customHeight="1" x14ac:dyDescent="0.25">
      <c r="A136" s="157" t="s">
        <v>63</v>
      </c>
      <c r="B136" s="80" t="s">
        <v>62</v>
      </c>
      <c r="C136" s="338"/>
      <c r="D136" s="339"/>
      <c r="E136" s="339"/>
      <c r="F136" s="33"/>
      <c r="G136" s="33"/>
      <c r="H136" s="179"/>
      <c r="I136" s="179"/>
      <c r="J136" s="33"/>
      <c r="K136" s="220"/>
    </row>
    <row r="137" spans="1:11" ht="24" customHeight="1" x14ac:dyDescent="0.25">
      <c r="A137" s="157"/>
      <c r="B137" s="80"/>
      <c r="C137" s="316" t="s">
        <v>69</v>
      </c>
      <c r="D137" s="317"/>
      <c r="E137" s="169"/>
      <c r="F137" s="33"/>
      <c r="G137" s="33"/>
      <c r="H137" s="179"/>
      <c r="I137" s="179"/>
      <c r="J137" s="33"/>
      <c r="K137" s="220"/>
    </row>
    <row r="138" spans="1:11" ht="24" customHeight="1" x14ac:dyDescent="0.25">
      <c r="A138" s="148"/>
      <c r="B138" s="81"/>
      <c r="C138" s="307" t="s">
        <v>235</v>
      </c>
      <c r="D138" s="308"/>
      <c r="E138" s="86">
        <f>J131</f>
        <v>144452</v>
      </c>
      <c r="F138" s="177"/>
      <c r="G138" s="87" t="s">
        <v>16</v>
      </c>
      <c r="H138" s="229">
        <f>0.4*0.4*0.2</f>
        <v>3.2000000000000008E-2</v>
      </c>
      <c r="I138" s="95" t="s">
        <v>21</v>
      </c>
      <c r="J138" s="146">
        <f>E138*H138</f>
        <v>4622.4640000000009</v>
      </c>
      <c r="K138" s="230" t="s">
        <v>5</v>
      </c>
    </row>
    <row r="139" spans="1:11" ht="24" customHeight="1" x14ac:dyDescent="0.25">
      <c r="A139" s="148"/>
      <c r="B139" s="81"/>
      <c r="C139" s="307" t="s">
        <v>271</v>
      </c>
      <c r="D139" s="308"/>
      <c r="E139" s="86">
        <f>H45+H48</f>
        <v>20370.370370370369</v>
      </c>
      <c r="F139" s="177"/>
      <c r="G139" s="87" t="s">
        <v>16</v>
      </c>
      <c r="H139" s="229">
        <f>0.45^3</f>
        <v>9.1125000000000012E-2</v>
      </c>
      <c r="I139" s="95" t="s">
        <v>21</v>
      </c>
      <c r="J139" s="146">
        <f>E139*H139</f>
        <v>1856.25</v>
      </c>
      <c r="K139" s="230"/>
    </row>
    <row r="140" spans="1:11" ht="24" customHeight="1" x14ac:dyDescent="0.25">
      <c r="A140" s="148"/>
      <c r="B140" s="81"/>
      <c r="C140" s="168"/>
      <c r="D140" s="169"/>
      <c r="E140" s="169"/>
      <c r="F140" s="33"/>
      <c r="G140" s="89"/>
      <c r="H140" s="90"/>
      <c r="I140" s="179"/>
      <c r="J140" s="88">
        <f>J138+J139</f>
        <v>6478.7140000000009</v>
      </c>
      <c r="K140" s="220" t="s">
        <v>5</v>
      </c>
    </row>
    <row r="141" spans="1:11" ht="24" customHeight="1" x14ac:dyDescent="0.25">
      <c r="A141" s="79"/>
      <c r="B141" s="82"/>
      <c r="C141" s="316" t="s">
        <v>170</v>
      </c>
      <c r="D141" s="317"/>
      <c r="E141" s="317"/>
      <c r="F141" s="179" t="s">
        <v>21</v>
      </c>
      <c r="G141" s="179"/>
      <c r="H141" s="179">
        <f>J140*0.3</f>
        <v>1943.6142000000002</v>
      </c>
      <c r="I141" s="91" t="s">
        <v>5</v>
      </c>
      <c r="J141" s="92">
        <f>H141</f>
        <v>1943.6142000000002</v>
      </c>
      <c r="K141" s="222" t="s">
        <v>5</v>
      </c>
    </row>
    <row r="142" spans="1:11" ht="24" customHeight="1" x14ac:dyDescent="0.25">
      <c r="A142" s="157" t="s">
        <v>66</v>
      </c>
      <c r="B142" s="80" t="s">
        <v>67</v>
      </c>
      <c r="C142" s="363" t="s">
        <v>217</v>
      </c>
      <c r="D142" s="364"/>
      <c r="E142" s="364"/>
      <c r="F142" s="364"/>
      <c r="G142" s="19"/>
      <c r="H142" s="93">
        <f>J140*0.7</f>
        <v>4535.0998</v>
      </c>
      <c r="I142" s="77" t="s">
        <v>5</v>
      </c>
      <c r="J142" s="94"/>
      <c r="K142" s="225"/>
    </row>
    <row r="143" spans="1:11" ht="24" customHeight="1" x14ac:dyDescent="0.25">
      <c r="A143" s="182"/>
      <c r="B143" s="68"/>
      <c r="C143" s="158"/>
      <c r="D143" s="159"/>
      <c r="E143" s="159"/>
      <c r="F143" s="186"/>
      <c r="G143" s="186"/>
      <c r="H143" s="69"/>
      <c r="I143" s="69" t="s">
        <v>21</v>
      </c>
      <c r="J143" s="92">
        <f>H142</f>
        <v>4535.0998</v>
      </c>
      <c r="K143" s="222" t="s">
        <v>5</v>
      </c>
    </row>
    <row r="144" spans="1:11" ht="24" customHeight="1" x14ac:dyDescent="0.25">
      <c r="A144" s="53" t="s">
        <v>188</v>
      </c>
      <c r="B144" s="336" t="s">
        <v>272</v>
      </c>
      <c r="C144" s="342"/>
      <c r="D144" s="343"/>
      <c r="E144" s="178"/>
      <c r="F144" s="44"/>
      <c r="G144" s="44"/>
      <c r="H144" s="44"/>
      <c r="I144" s="44"/>
      <c r="J144" s="57"/>
      <c r="K144" s="219"/>
    </row>
    <row r="145" spans="1:11" x14ac:dyDescent="0.25">
      <c r="A145" s="148"/>
      <c r="B145" s="337"/>
      <c r="C145" s="341"/>
      <c r="D145" s="365"/>
      <c r="E145" s="365"/>
      <c r="F145" s="365"/>
      <c r="G145" s="365"/>
      <c r="H145" s="365"/>
      <c r="I145" s="179"/>
      <c r="J145" s="58"/>
      <c r="K145" s="220"/>
    </row>
    <row r="146" spans="1:11" x14ac:dyDescent="0.25">
      <c r="A146" s="148"/>
      <c r="B146" s="337"/>
      <c r="C146" s="174"/>
      <c r="D146" s="83"/>
      <c r="E146" s="84"/>
      <c r="F146" s="227"/>
      <c r="G146" s="169"/>
      <c r="H146" s="179"/>
      <c r="I146" s="179"/>
      <c r="J146" s="58"/>
      <c r="K146" s="220"/>
    </row>
    <row r="147" spans="1:11" x14ac:dyDescent="0.25">
      <c r="A147" s="148"/>
      <c r="B147" s="337"/>
      <c r="C147" s="224"/>
      <c r="D147" s="218"/>
      <c r="E147" s="218"/>
      <c r="F147" s="218"/>
      <c r="G147" s="218"/>
      <c r="H147" s="218"/>
      <c r="I147" s="218"/>
      <c r="J147" s="58"/>
      <c r="K147" s="220"/>
    </row>
    <row r="148" spans="1:11" x14ac:dyDescent="0.25">
      <c r="A148" s="148"/>
      <c r="B148" s="337"/>
      <c r="C148" s="224"/>
      <c r="D148" s="218"/>
      <c r="E148" s="218"/>
      <c r="F148" s="218"/>
      <c r="G148" s="218"/>
      <c r="H148" s="218"/>
      <c r="I148" s="218"/>
      <c r="J148" s="58"/>
      <c r="K148" s="220"/>
    </row>
    <row r="149" spans="1:11" ht="121.5" customHeight="1" x14ac:dyDescent="0.25">
      <c r="A149" s="148"/>
      <c r="B149" s="337"/>
      <c r="C149" s="224"/>
      <c r="D149" s="218"/>
      <c r="E149" s="218"/>
      <c r="F149" s="218"/>
      <c r="G149" s="218"/>
      <c r="H149" s="218"/>
      <c r="I149" s="218"/>
      <c r="J149" s="58"/>
      <c r="K149" s="220"/>
    </row>
    <row r="150" spans="1:11" x14ac:dyDescent="0.25">
      <c r="A150" s="148"/>
      <c r="B150" s="81"/>
      <c r="C150" s="316" t="s">
        <v>69</v>
      </c>
      <c r="D150" s="317"/>
      <c r="E150" s="169"/>
      <c r="F150" s="33"/>
      <c r="G150" s="33"/>
      <c r="H150" s="179"/>
      <c r="I150" s="179"/>
      <c r="J150" s="58"/>
      <c r="K150" s="220"/>
    </row>
    <row r="151" spans="1:11" ht="15" customHeight="1" x14ac:dyDescent="0.25">
      <c r="A151" s="148"/>
      <c r="B151" s="81"/>
      <c r="C151" s="307" t="s">
        <v>64</v>
      </c>
      <c r="D151" s="308"/>
      <c r="E151" s="86">
        <f>J65-H45-H48</f>
        <v>257250.62962962961</v>
      </c>
      <c r="F151" s="177"/>
      <c r="G151" s="87" t="s">
        <v>16</v>
      </c>
      <c r="H151" s="229">
        <v>9.1124999999999998E-2</v>
      </c>
      <c r="I151" s="95" t="s">
        <v>21</v>
      </c>
      <c r="J151" s="147">
        <f>E151*H151</f>
        <v>23441.963624999997</v>
      </c>
      <c r="K151" s="220"/>
    </row>
    <row r="152" spans="1:11" ht="24" customHeight="1" x14ac:dyDescent="0.25">
      <c r="A152" s="148"/>
      <c r="B152" s="81"/>
      <c r="C152" s="307" t="s">
        <v>65</v>
      </c>
      <c r="D152" s="308"/>
      <c r="E152" s="86">
        <f>J95</f>
        <v>364501</v>
      </c>
      <c r="F152" s="177"/>
      <c r="G152" s="87" t="s">
        <v>16</v>
      </c>
      <c r="H152" s="229">
        <f>0.35^3</f>
        <v>4.287499999999999E-2</v>
      </c>
      <c r="I152" s="95" t="s">
        <v>21</v>
      </c>
      <c r="J152" s="147">
        <f t="shared" ref="J152" si="0">E152*H152</f>
        <v>15627.980374999996</v>
      </c>
      <c r="K152" s="220"/>
    </row>
    <row r="153" spans="1:11" x14ac:dyDescent="0.25">
      <c r="A153" s="148" t="s">
        <v>167</v>
      </c>
      <c r="B153" s="81" t="s">
        <v>62</v>
      </c>
      <c r="C153" s="168"/>
      <c r="D153" s="169"/>
      <c r="E153" s="169"/>
      <c r="F153" s="33"/>
      <c r="G153" s="89"/>
      <c r="H153" s="90"/>
      <c r="I153" s="179"/>
      <c r="J153" s="98">
        <f>SUM(J151:J152)</f>
        <v>39069.943999999989</v>
      </c>
      <c r="K153" s="220" t="s">
        <v>5</v>
      </c>
    </row>
    <row r="154" spans="1:11" ht="22.5" customHeight="1" x14ac:dyDescent="0.25">
      <c r="A154" s="79"/>
      <c r="B154" s="82"/>
      <c r="C154" s="332" t="s">
        <v>170</v>
      </c>
      <c r="D154" s="333"/>
      <c r="E154" s="333"/>
      <c r="F154" s="61" t="s">
        <v>21</v>
      </c>
      <c r="G154" s="61"/>
      <c r="H154" s="61">
        <f>J153*0.3</f>
        <v>11720.983199999997</v>
      </c>
      <c r="I154" s="138" t="s">
        <v>5</v>
      </c>
      <c r="J154" s="139">
        <f>H154</f>
        <v>11720.983199999997</v>
      </c>
      <c r="K154" s="231" t="s">
        <v>5</v>
      </c>
    </row>
    <row r="155" spans="1:11" ht="22.5" customHeight="1" x14ac:dyDescent="0.25">
      <c r="A155" s="148" t="s">
        <v>68</v>
      </c>
      <c r="B155" s="81" t="s">
        <v>67</v>
      </c>
      <c r="C155" s="168"/>
      <c r="D155" s="169"/>
      <c r="E155" s="169"/>
      <c r="F155" s="33"/>
      <c r="G155" s="33"/>
      <c r="H155" s="179"/>
      <c r="I155" s="91"/>
      <c r="J155" s="58"/>
      <c r="K155" s="220"/>
    </row>
    <row r="156" spans="1:11" ht="22.5" customHeight="1" x14ac:dyDescent="0.25">
      <c r="A156" s="148"/>
      <c r="B156" s="81"/>
      <c r="C156" s="316" t="s">
        <v>169</v>
      </c>
      <c r="D156" s="317"/>
      <c r="E156" s="175"/>
      <c r="F156" s="89" t="s">
        <v>21</v>
      </c>
      <c r="G156" s="89"/>
      <c r="H156" s="179">
        <f>J153*0.7</f>
        <v>27348.96079999999</v>
      </c>
      <c r="I156" s="179" t="s">
        <v>3</v>
      </c>
      <c r="J156" s="130">
        <f>H156</f>
        <v>27348.96079999999</v>
      </c>
      <c r="K156" s="220" t="s">
        <v>5</v>
      </c>
    </row>
    <row r="157" spans="1:11" ht="22.5" customHeight="1" x14ac:dyDescent="0.25">
      <c r="A157" s="137"/>
      <c r="B157" s="81"/>
      <c r="C157" s="174"/>
      <c r="D157" s="175"/>
      <c r="E157" s="175"/>
      <c r="F157" s="89"/>
      <c r="G157" s="89"/>
      <c r="H157" s="179"/>
      <c r="I157" s="179"/>
      <c r="J157" s="130"/>
      <c r="K157" s="220"/>
    </row>
    <row r="158" spans="1:11" ht="24" x14ac:dyDescent="0.25">
      <c r="A158" s="97" t="s">
        <v>190</v>
      </c>
      <c r="B158" s="334" t="s">
        <v>302</v>
      </c>
      <c r="C158" s="20"/>
      <c r="D158" s="19"/>
      <c r="E158" s="19"/>
      <c r="F158" s="19"/>
      <c r="G158" s="19"/>
      <c r="H158" s="19"/>
      <c r="I158" s="19"/>
      <c r="J158" s="55"/>
      <c r="K158" s="219"/>
    </row>
    <row r="159" spans="1:11" x14ac:dyDescent="0.25">
      <c r="A159" s="49"/>
      <c r="B159" s="335"/>
      <c r="C159" s="313"/>
      <c r="D159" s="314"/>
      <c r="E159" s="314"/>
      <c r="F159" s="186"/>
      <c r="G159" s="186"/>
      <c r="H159" s="186"/>
      <c r="I159" s="186"/>
      <c r="J159" s="36"/>
      <c r="K159" s="220"/>
    </row>
    <row r="160" spans="1:11" x14ac:dyDescent="0.25">
      <c r="A160" s="49"/>
      <c r="B160" s="335"/>
      <c r="C160" s="313"/>
      <c r="D160" s="314"/>
      <c r="E160" s="314"/>
      <c r="F160" s="314"/>
      <c r="G160" s="314"/>
      <c r="H160" s="186"/>
      <c r="I160" s="186"/>
      <c r="J160" s="36"/>
      <c r="K160" s="220"/>
    </row>
    <row r="161" spans="1:11" x14ac:dyDescent="0.25">
      <c r="A161" s="49"/>
      <c r="B161" s="335"/>
      <c r="C161" s="313"/>
      <c r="D161" s="314"/>
      <c r="E161" s="314"/>
      <c r="F161" s="159"/>
      <c r="G161" s="186"/>
      <c r="H161" s="186"/>
      <c r="I161" s="186"/>
      <c r="J161" s="36"/>
      <c r="K161" s="220"/>
    </row>
    <row r="162" spans="1:11" x14ac:dyDescent="0.25">
      <c r="A162" s="49"/>
      <c r="B162" s="335"/>
      <c r="C162" s="312"/>
      <c r="D162" s="311"/>
      <c r="E162" s="183"/>
      <c r="F162" s="183"/>
      <c r="G162" s="161"/>
      <c r="H162" s="186"/>
      <c r="I162" s="186"/>
      <c r="J162" s="36"/>
      <c r="K162" s="220"/>
    </row>
    <row r="163" spans="1:11" ht="106.5" customHeight="1" x14ac:dyDescent="0.25">
      <c r="A163" s="49"/>
      <c r="B163" s="335"/>
      <c r="C163" s="37"/>
      <c r="D163" s="186"/>
      <c r="E163" s="161"/>
      <c r="F163" s="186"/>
      <c r="G163" s="186"/>
      <c r="H163" s="186"/>
      <c r="I163" s="186"/>
      <c r="J163" s="36"/>
      <c r="K163" s="220"/>
    </row>
    <row r="164" spans="1:11" ht="48.75" customHeight="1" x14ac:dyDescent="0.25">
      <c r="A164" s="49" t="s">
        <v>236</v>
      </c>
      <c r="B164" s="180" t="s">
        <v>301</v>
      </c>
      <c r="C164" s="318" t="s">
        <v>286</v>
      </c>
      <c r="D164" s="319"/>
      <c r="E164" s="319"/>
      <c r="F164" s="319"/>
      <c r="G164" s="319"/>
      <c r="H164" s="319"/>
      <c r="I164" s="320"/>
      <c r="J164" s="36"/>
      <c r="K164" s="220"/>
    </row>
    <row r="165" spans="1:11" ht="17.25" customHeight="1" x14ac:dyDescent="0.25">
      <c r="A165" s="49"/>
      <c r="B165" s="180"/>
      <c r="C165" s="313" t="s">
        <v>265</v>
      </c>
      <c r="D165" s="314"/>
      <c r="E165" s="314"/>
      <c r="F165" s="314"/>
      <c r="G165" s="314"/>
      <c r="H165" s="314"/>
      <c r="I165" s="186"/>
      <c r="J165" s="36"/>
      <c r="K165" s="220"/>
    </row>
    <row r="166" spans="1:11" ht="17.25" customHeight="1" x14ac:dyDescent="0.25">
      <c r="A166" s="49"/>
      <c r="B166" s="180"/>
      <c r="C166" s="37" t="s">
        <v>70</v>
      </c>
      <c r="D166" s="186"/>
      <c r="E166" s="161">
        <v>500</v>
      </c>
      <c r="F166" s="186" t="s">
        <v>6</v>
      </c>
      <c r="G166" s="186"/>
      <c r="H166" s="186"/>
      <c r="I166" s="186"/>
      <c r="J166" s="36"/>
      <c r="K166" s="220"/>
    </row>
    <row r="167" spans="1:11" ht="17.25" customHeight="1" x14ac:dyDescent="0.25">
      <c r="A167" s="49"/>
      <c r="B167" s="180"/>
      <c r="C167" s="37">
        <v>22</v>
      </c>
      <c r="D167" s="186"/>
      <c r="E167" s="159" t="s">
        <v>52</v>
      </c>
      <c r="F167" s="186"/>
      <c r="G167" s="186"/>
      <c r="H167" s="186"/>
      <c r="I167" s="186"/>
      <c r="J167" s="36"/>
      <c r="K167" s="220"/>
    </row>
    <row r="168" spans="1:11" ht="17.25" customHeight="1" x14ac:dyDescent="0.25">
      <c r="A168" s="49"/>
      <c r="B168" s="180"/>
      <c r="C168" s="37">
        <f>E166</f>
        <v>500</v>
      </c>
      <c r="D168" s="186" t="s">
        <v>16</v>
      </c>
      <c r="E168" s="159">
        <f>C167</f>
        <v>22</v>
      </c>
      <c r="F168" s="186"/>
      <c r="G168" s="186" t="s">
        <v>21</v>
      </c>
      <c r="H168" s="159">
        <f>C168*E168</f>
        <v>11000</v>
      </c>
      <c r="I168" s="186" t="s">
        <v>3</v>
      </c>
      <c r="J168" s="36"/>
      <c r="K168" s="220"/>
    </row>
    <row r="169" spans="1:11" ht="17.25" customHeight="1" x14ac:dyDescent="0.25">
      <c r="A169" s="49"/>
      <c r="B169" s="180"/>
      <c r="C169" s="37"/>
      <c r="D169" s="186"/>
      <c r="E169" s="159"/>
      <c r="F169" s="186"/>
      <c r="G169" s="186"/>
      <c r="H169" s="159"/>
      <c r="I169" s="186"/>
      <c r="J169" s="36"/>
      <c r="K169" s="220"/>
    </row>
    <row r="170" spans="1:11" ht="17.25" customHeight="1" x14ac:dyDescent="0.25">
      <c r="A170" s="49"/>
      <c r="B170" s="180"/>
      <c r="C170" s="313" t="s">
        <v>266</v>
      </c>
      <c r="D170" s="314"/>
      <c r="E170" s="314"/>
      <c r="F170" s="314"/>
      <c r="G170" s="314"/>
      <c r="H170" s="314"/>
      <c r="I170" s="186"/>
      <c r="J170" s="36"/>
      <c r="K170" s="220"/>
    </row>
    <row r="171" spans="1:11" ht="17.25" customHeight="1" x14ac:dyDescent="0.25">
      <c r="A171" s="49"/>
      <c r="B171" s="180"/>
      <c r="C171" s="37" t="s">
        <v>70</v>
      </c>
      <c r="D171" s="186"/>
      <c r="E171" s="161">
        <v>500</v>
      </c>
      <c r="F171" s="186" t="s">
        <v>6</v>
      </c>
      <c r="G171" s="186"/>
      <c r="H171" s="186"/>
      <c r="I171" s="186"/>
      <c r="J171" s="36"/>
      <c r="K171" s="220"/>
    </row>
    <row r="172" spans="1:11" ht="17.25" customHeight="1" x14ac:dyDescent="0.25">
      <c r="A172" s="49"/>
      <c r="B172" s="180"/>
      <c r="C172" s="37">
        <v>15</v>
      </c>
      <c r="D172" s="186"/>
      <c r="E172" s="159" t="s">
        <v>52</v>
      </c>
      <c r="F172" s="186"/>
      <c r="G172" s="186"/>
      <c r="H172" s="186"/>
      <c r="I172" s="186"/>
      <c r="J172" s="36"/>
      <c r="K172" s="220"/>
    </row>
    <row r="173" spans="1:11" ht="17.25" customHeight="1" x14ac:dyDescent="0.25">
      <c r="A173" s="49"/>
      <c r="B173" s="180"/>
      <c r="C173" s="37">
        <f>E171</f>
        <v>500</v>
      </c>
      <c r="D173" s="186" t="s">
        <v>16</v>
      </c>
      <c r="E173" s="159">
        <f>C172</f>
        <v>15</v>
      </c>
      <c r="F173" s="186"/>
      <c r="G173" s="186" t="s">
        <v>21</v>
      </c>
      <c r="H173" s="159">
        <f>C173*E173</f>
        <v>7500</v>
      </c>
      <c r="I173" s="186" t="s">
        <v>3</v>
      </c>
      <c r="J173" s="36"/>
      <c r="K173" s="220"/>
    </row>
    <row r="174" spans="1:11" ht="17.25" customHeight="1" x14ac:dyDescent="0.25">
      <c r="A174" s="49"/>
      <c r="B174" s="180"/>
      <c r="C174" s="37"/>
      <c r="D174" s="186"/>
      <c r="E174" s="159"/>
      <c r="F174" s="186"/>
      <c r="G174" s="186"/>
      <c r="H174" s="159"/>
      <c r="I174" s="186"/>
      <c r="J174" s="36"/>
      <c r="K174" s="220"/>
    </row>
    <row r="175" spans="1:11" ht="17.25" customHeight="1" x14ac:dyDescent="0.25">
      <c r="A175" s="49"/>
      <c r="B175" s="180"/>
      <c r="C175" s="37" t="s">
        <v>154</v>
      </c>
      <c r="D175" s="186"/>
      <c r="E175" s="159"/>
      <c r="F175" s="186"/>
      <c r="G175" s="186" t="s">
        <v>21</v>
      </c>
      <c r="H175" s="159">
        <f>H168+H173</f>
        <v>18500</v>
      </c>
      <c r="I175" s="186" t="s">
        <v>5</v>
      </c>
      <c r="J175" s="36"/>
      <c r="K175" s="220"/>
    </row>
    <row r="176" spans="1:11" ht="17.25" customHeight="1" x14ac:dyDescent="0.25">
      <c r="A176" s="49"/>
      <c r="B176" s="180"/>
      <c r="C176" s="37"/>
      <c r="D176" s="186"/>
      <c r="E176" s="161"/>
      <c r="F176" s="186"/>
      <c r="G176" s="186"/>
      <c r="H176" s="159"/>
      <c r="I176" s="96"/>
      <c r="J176" s="36"/>
      <c r="K176" s="220"/>
    </row>
    <row r="177" spans="1:11" ht="17.25" customHeight="1" x14ac:dyDescent="0.25">
      <c r="A177" s="49"/>
      <c r="B177" s="180"/>
      <c r="C177" s="313" t="s">
        <v>238</v>
      </c>
      <c r="D177" s="314"/>
      <c r="E177" s="314"/>
      <c r="F177" s="314"/>
      <c r="G177" s="314"/>
      <c r="H177" s="186">
        <v>0.1333</v>
      </c>
      <c r="I177" s="96" t="s">
        <v>5</v>
      </c>
      <c r="J177" s="36"/>
      <c r="K177" s="220"/>
    </row>
    <row r="178" spans="1:11" ht="17.25" customHeight="1" x14ac:dyDescent="0.25">
      <c r="A178" s="49"/>
      <c r="B178" s="180"/>
      <c r="C178" s="158"/>
      <c r="D178" s="159"/>
      <c r="E178" s="159"/>
      <c r="F178" s="159"/>
      <c r="G178" s="159" t="s">
        <v>21</v>
      </c>
      <c r="H178" s="186">
        <f>H175/H177</f>
        <v>138784.69617404352</v>
      </c>
      <c r="I178" s="96" t="s">
        <v>18</v>
      </c>
      <c r="J178" s="99">
        <v>138785</v>
      </c>
      <c r="K178" s="220" t="s">
        <v>18</v>
      </c>
    </row>
    <row r="179" spans="1:11" ht="17.25" customHeight="1" x14ac:dyDescent="0.25">
      <c r="A179" s="49"/>
      <c r="B179" s="180"/>
      <c r="C179" s="312" t="s">
        <v>274</v>
      </c>
      <c r="D179" s="311"/>
      <c r="E179" s="311"/>
      <c r="F179" s="159"/>
      <c r="G179" s="159"/>
      <c r="H179" s="186"/>
      <c r="I179" s="96"/>
      <c r="J179" s="99"/>
      <c r="K179" s="220"/>
    </row>
    <row r="180" spans="1:11" ht="17.25" customHeight="1" x14ac:dyDescent="0.25">
      <c r="A180" s="49"/>
      <c r="B180" s="154"/>
      <c r="I180" s="96"/>
      <c r="J180" s="99"/>
      <c r="K180" s="220"/>
    </row>
    <row r="181" spans="1:11" ht="17.25" customHeight="1" x14ac:dyDescent="0.25">
      <c r="A181" s="49"/>
      <c r="B181" s="180"/>
      <c r="C181" s="158" t="s">
        <v>268</v>
      </c>
      <c r="D181" s="159"/>
      <c r="E181" s="159">
        <v>1000</v>
      </c>
      <c r="F181" s="159">
        <v>3</v>
      </c>
      <c r="G181" s="159"/>
      <c r="H181" s="186">
        <f>E181*F181</f>
        <v>3000</v>
      </c>
      <c r="I181" s="96" t="s">
        <v>46</v>
      </c>
      <c r="J181" s="99"/>
      <c r="K181" s="220"/>
    </row>
    <row r="182" spans="1:11" ht="17.25" customHeight="1" x14ac:dyDescent="0.25">
      <c r="A182" s="49"/>
      <c r="B182" s="180"/>
      <c r="C182" s="328" t="s">
        <v>298</v>
      </c>
      <c r="D182" s="329"/>
      <c r="E182" s="329"/>
      <c r="F182" s="329"/>
      <c r="G182" s="232"/>
      <c r="H182" s="232"/>
      <c r="I182" s="96"/>
      <c r="J182" s="99"/>
      <c r="K182" s="220"/>
    </row>
    <row r="183" spans="1:11" ht="17.25" customHeight="1" x14ac:dyDescent="0.25">
      <c r="A183" s="49"/>
      <c r="B183" s="180"/>
      <c r="C183" s="326" t="s">
        <v>219</v>
      </c>
      <c r="D183" s="327"/>
      <c r="E183" s="327"/>
      <c r="F183" s="327"/>
      <c r="G183" s="233"/>
      <c r="H183" s="233">
        <f>H181/0.75</f>
        <v>4000</v>
      </c>
      <c r="I183" s="96" t="s">
        <v>18</v>
      </c>
      <c r="J183" s="99"/>
      <c r="K183" s="220"/>
    </row>
    <row r="184" spans="1:11" ht="17.25" customHeight="1" x14ac:dyDescent="0.25">
      <c r="A184" s="49"/>
      <c r="B184" s="180"/>
      <c r="C184" s="234"/>
      <c r="D184" s="227"/>
      <c r="E184" s="227"/>
      <c r="F184" s="227"/>
      <c r="G184" s="233"/>
      <c r="H184" s="233"/>
      <c r="I184" s="96"/>
      <c r="J184" s="99"/>
      <c r="K184" s="220"/>
    </row>
    <row r="185" spans="1:11" ht="17.25" customHeight="1" x14ac:dyDescent="0.25">
      <c r="A185" s="49"/>
      <c r="B185" s="180"/>
      <c r="C185" s="234" t="s">
        <v>277</v>
      </c>
      <c r="D185" s="227"/>
      <c r="E185" s="227"/>
      <c r="F185" s="227"/>
      <c r="G185" s="233"/>
      <c r="H185" s="233">
        <f>H183*2</f>
        <v>8000</v>
      </c>
      <c r="I185" s="96" t="s">
        <v>18</v>
      </c>
      <c r="J185" s="99">
        <v>8000</v>
      </c>
      <c r="K185" s="220" t="s">
        <v>230</v>
      </c>
    </row>
    <row r="186" spans="1:11" ht="17.25" customHeight="1" x14ac:dyDescent="0.25">
      <c r="A186" s="49"/>
      <c r="B186" s="180"/>
      <c r="C186" s="313" t="s">
        <v>278</v>
      </c>
      <c r="D186" s="314"/>
      <c r="E186" s="314"/>
      <c r="F186" s="314"/>
      <c r="G186" s="314"/>
      <c r="H186" s="314"/>
      <c r="I186" s="96"/>
      <c r="J186" s="99"/>
      <c r="K186" s="220"/>
    </row>
    <row r="187" spans="1:11" ht="17.25" customHeight="1" x14ac:dyDescent="0.25">
      <c r="A187" s="49"/>
      <c r="B187" s="180"/>
      <c r="C187" s="326" t="s">
        <v>276</v>
      </c>
      <c r="D187" s="327"/>
      <c r="E187" s="327"/>
      <c r="F187" s="227"/>
      <c r="G187" s="233"/>
      <c r="H187" s="233"/>
      <c r="I187" s="96"/>
      <c r="J187" s="99"/>
      <c r="K187" s="220"/>
    </row>
    <row r="188" spans="1:11" ht="17.25" customHeight="1" x14ac:dyDescent="0.25">
      <c r="A188" s="49"/>
      <c r="B188" s="180"/>
      <c r="C188" s="158" t="s">
        <v>268</v>
      </c>
      <c r="D188" s="159"/>
      <c r="E188" s="159">
        <v>500</v>
      </c>
      <c r="F188" s="159">
        <v>3</v>
      </c>
      <c r="G188" s="159"/>
      <c r="H188" s="186">
        <f>E188*F188</f>
        <v>1500</v>
      </c>
      <c r="I188" s="96" t="s">
        <v>46</v>
      </c>
      <c r="J188" s="99"/>
      <c r="K188" s="220"/>
    </row>
    <row r="189" spans="1:11" ht="17.25" customHeight="1" x14ac:dyDescent="0.25">
      <c r="A189" s="49"/>
      <c r="B189" s="180"/>
      <c r="C189" s="326" t="s">
        <v>275</v>
      </c>
      <c r="D189" s="327"/>
      <c r="E189" s="327"/>
      <c r="F189" s="327"/>
      <c r="G189" s="232"/>
      <c r="H189" s="232"/>
      <c r="I189" s="96"/>
      <c r="J189" s="99"/>
      <c r="K189" s="220"/>
    </row>
    <row r="190" spans="1:11" ht="17.25" customHeight="1" x14ac:dyDescent="0.25">
      <c r="A190" s="49"/>
      <c r="B190" s="180"/>
      <c r="C190" s="326" t="s">
        <v>219</v>
      </c>
      <c r="D190" s="327"/>
      <c r="E190" s="327"/>
      <c r="F190" s="327"/>
      <c r="G190" s="233"/>
      <c r="H190" s="233">
        <f>H188/0.75</f>
        <v>2000</v>
      </c>
      <c r="I190" s="96" t="s">
        <v>18</v>
      </c>
      <c r="J190" s="99"/>
      <c r="K190" s="220"/>
    </row>
    <row r="191" spans="1:11" ht="17.25" customHeight="1" x14ac:dyDescent="0.25">
      <c r="A191" s="49"/>
      <c r="B191" s="180"/>
      <c r="C191" s="234" t="s">
        <v>277</v>
      </c>
      <c r="D191" s="227"/>
      <c r="E191" s="227"/>
      <c r="F191" s="227"/>
      <c r="G191" s="233"/>
      <c r="H191" s="233">
        <f>H190*2</f>
        <v>4000</v>
      </c>
      <c r="I191" s="96" t="s">
        <v>230</v>
      </c>
      <c r="J191" s="99">
        <v>4000</v>
      </c>
      <c r="K191" s="220" t="s">
        <v>230</v>
      </c>
    </row>
    <row r="192" spans="1:11" ht="17.25" customHeight="1" x14ac:dyDescent="0.25">
      <c r="A192" s="49"/>
      <c r="B192" s="154"/>
      <c r="C192" s="227"/>
      <c r="D192" s="227"/>
      <c r="E192" s="227"/>
      <c r="F192" s="227"/>
      <c r="G192" s="233"/>
      <c r="H192" s="233"/>
      <c r="I192" s="96"/>
      <c r="J192" s="99"/>
      <c r="K192" s="220"/>
    </row>
    <row r="193" spans="1:11" ht="17.25" customHeight="1" x14ac:dyDescent="0.25">
      <c r="A193" s="49"/>
      <c r="B193" s="154"/>
      <c r="C193" s="327" t="s">
        <v>279</v>
      </c>
      <c r="D193" s="327"/>
      <c r="E193" s="327"/>
      <c r="F193" s="327"/>
      <c r="G193" s="233"/>
      <c r="H193" s="235">
        <f>SUM(J178:J191)</f>
        <v>150785</v>
      </c>
      <c r="I193" s="96" t="s">
        <v>18</v>
      </c>
      <c r="J193" s="99"/>
      <c r="K193" s="220"/>
    </row>
    <row r="194" spans="1:11" ht="17.25" customHeight="1" x14ac:dyDescent="0.25">
      <c r="A194" s="49"/>
      <c r="B194" s="154"/>
      <c r="C194" s="227"/>
      <c r="D194" s="227"/>
      <c r="E194" s="227"/>
      <c r="F194" s="227"/>
      <c r="G194" s="233"/>
      <c r="H194" s="235"/>
      <c r="I194" s="96"/>
      <c r="J194" s="99"/>
      <c r="K194" s="220"/>
    </row>
    <row r="195" spans="1:11" ht="17.25" customHeight="1" x14ac:dyDescent="0.25">
      <c r="A195" s="49"/>
      <c r="B195" s="154"/>
      <c r="C195" s="318" t="s">
        <v>287</v>
      </c>
      <c r="D195" s="319"/>
      <c r="E195" s="319"/>
      <c r="F195" s="319"/>
      <c r="G195" s="319"/>
      <c r="H195" s="319"/>
      <c r="I195" s="320"/>
      <c r="J195" s="99"/>
      <c r="K195" s="220"/>
    </row>
    <row r="196" spans="1:11" ht="17.25" customHeight="1" x14ac:dyDescent="0.25">
      <c r="A196" s="49"/>
      <c r="B196" s="154"/>
      <c r="C196" s="37" t="s">
        <v>70</v>
      </c>
      <c r="D196" s="186"/>
      <c r="E196" s="161">
        <v>1500</v>
      </c>
      <c r="F196" s="186" t="s">
        <v>6</v>
      </c>
      <c r="G196" s="186"/>
      <c r="H196" s="186"/>
      <c r="I196" s="186"/>
      <c r="J196" s="99"/>
      <c r="K196" s="220"/>
    </row>
    <row r="197" spans="1:11" ht="17.25" customHeight="1" x14ac:dyDescent="0.25">
      <c r="A197" s="49"/>
      <c r="B197" s="154"/>
      <c r="C197" s="37">
        <v>22</v>
      </c>
      <c r="D197" s="186"/>
      <c r="E197" s="159" t="s">
        <v>52</v>
      </c>
      <c r="F197" s="186"/>
      <c r="G197" s="186"/>
      <c r="H197" s="186"/>
      <c r="I197" s="186"/>
      <c r="J197" s="99"/>
      <c r="K197" s="220"/>
    </row>
    <row r="198" spans="1:11" ht="17.25" customHeight="1" x14ac:dyDescent="0.25">
      <c r="A198" s="49"/>
      <c r="B198" s="154"/>
      <c r="C198" s="37">
        <f>E196</f>
        <v>1500</v>
      </c>
      <c r="D198" s="186" t="s">
        <v>16</v>
      </c>
      <c r="E198" s="159">
        <f>C197</f>
        <v>22</v>
      </c>
      <c r="F198" s="186"/>
      <c r="G198" s="186" t="s">
        <v>21</v>
      </c>
      <c r="H198" s="159">
        <f>C198*E198</f>
        <v>33000</v>
      </c>
      <c r="I198" s="186" t="s">
        <v>3</v>
      </c>
      <c r="J198" s="99"/>
      <c r="K198" s="220"/>
    </row>
    <row r="199" spans="1:11" ht="17.25" customHeight="1" x14ac:dyDescent="0.25">
      <c r="A199" s="49"/>
      <c r="B199" s="154"/>
      <c r="C199" s="37"/>
      <c r="D199" s="186"/>
      <c r="E199" s="161"/>
      <c r="F199" s="186"/>
      <c r="G199" s="186"/>
      <c r="H199" s="159"/>
      <c r="I199" s="96"/>
      <c r="J199" s="99"/>
      <c r="K199" s="220"/>
    </row>
    <row r="200" spans="1:11" ht="17.25" customHeight="1" x14ac:dyDescent="0.25">
      <c r="A200" s="49"/>
      <c r="B200" s="154"/>
      <c r="C200" s="313" t="s">
        <v>238</v>
      </c>
      <c r="D200" s="314"/>
      <c r="E200" s="314"/>
      <c r="F200" s="314"/>
      <c r="G200" s="314"/>
      <c r="H200" s="186">
        <v>0.1333</v>
      </c>
      <c r="I200" s="96" t="s">
        <v>5</v>
      </c>
      <c r="J200" s="99"/>
      <c r="K200" s="220"/>
    </row>
    <row r="201" spans="1:11" ht="17.25" customHeight="1" x14ac:dyDescent="0.25">
      <c r="A201" s="49"/>
      <c r="B201" s="154"/>
      <c r="C201" s="158"/>
      <c r="D201" s="159"/>
      <c r="E201" s="159"/>
      <c r="F201" s="159"/>
      <c r="G201" s="159" t="s">
        <v>21</v>
      </c>
      <c r="H201" s="186">
        <f>H198/H200</f>
        <v>247561.89047261816</v>
      </c>
      <c r="I201" s="96" t="s">
        <v>18</v>
      </c>
      <c r="J201" s="99">
        <f>247562</f>
        <v>247562</v>
      </c>
      <c r="K201" s="220" t="s">
        <v>230</v>
      </c>
    </row>
    <row r="202" spans="1:11" ht="17.25" customHeight="1" x14ac:dyDescent="0.25">
      <c r="A202" s="49"/>
      <c r="B202" s="154"/>
      <c r="C202" s="312" t="s">
        <v>274</v>
      </c>
      <c r="D202" s="311"/>
      <c r="E202" s="311"/>
      <c r="F202" s="159"/>
      <c r="G202" s="159"/>
      <c r="H202" s="186"/>
      <c r="I202" s="96"/>
      <c r="J202" s="99"/>
      <c r="K202" s="220"/>
    </row>
    <row r="203" spans="1:11" ht="17.25" customHeight="1" x14ac:dyDescent="0.25">
      <c r="A203" s="49"/>
      <c r="B203" s="154"/>
      <c r="I203" s="96"/>
      <c r="J203" s="99"/>
      <c r="K203" s="220"/>
    </row>
    <row r="204" spans="1:11" ht="17.25" customHeight="1" x14ac:dyDescent="0.25">
      <c r="A204" s="49"/>
      <c r="B204" s="154"/>
      <c r="C204" s="158" t="s">
        <v>268</v>
      </c>
      <c r="D204" s="159"/>
      <c r="E204" s="159">
        <v>1500</v>
      </c>
      <c r="F204" s="159">
        <v>3</v>
      </c>
      <c r="G204" s="159"/>
      <c r="H204" s="186">
        <f>E204*F204</f>
        <v>4500</v>
      </c>
      <c r="I204" s="96" t="s">
        <v>46</v>
      </c>
      <c r="J204" s="99"/>
      <c r="K204" s="220"/>
    </row>
    <row r="205" spans="1:11" ht="17.25" customHeight="1" x14ac:dyDescent="0.25">
      <c r="A205" s="49"/>
      <c r="B205" s="154"/>
      <c r="C205" s="326" t="s">
        <v>298</v>
      </c>
      <c r="D205" s="327"/>
      <c r="E205" s="327"/>
      <c r="F205" s="327"/>
      <c r="G205" s="232"/>
      <c r="H205" s="232"/>
      <c r="I205" s="96"/>
      <c r="J205" s="99"/>
      <c r="K205" s="220"/>
    </row>
    <row r="206" spans="1:11" ht="17.25" customHeight="1" x14ac:dyDescent="0.25">
      <c r="A206" s="49"/>
      <c r="B206" s="154"/>
      <c r="C206" s="326" t="s">
        <v>219</v>
      </c>
      <c r="D206" s="327"/>
      <c r="E206" s="327"/>
      <c r="F206" s="327"/>
      <c r="G206" s="233"/>
      <c r="H206" s="233">
        <f>H204/0.75</f>
        <v>6000</v>
      </c>
      <c r="I206" s="96" t="s">
        <v>18</v>
      </c>
      <c r="J206" s="99"/>
      <c r="K206" s="220"/>
    </row>
    <row r="207" spans="1:11" ht="17.25" customHeight="1" x14ac:dyDescent="0.25">
      <c r="A207" s="49"/>
      <c r="B207" s="154"/>
      <c r="C207" s="234"/>
      <c r="D207" s="227"/>
      <c r="E207" s="227"/>
      <c r="F207" s="227"/>
      <c r="G207" s="233"/>
      <c r="H207" s="233"/>
      <c r="I207" s="96"/>
      <c r="J207" s="99"/>
      <c r="K207" s="220"/>
    </row>
    <row r="208" spans="1:11" ht="17.25" customHeight="1" x14ac:dyDescent="0.25">
      <c r="A208" s="49"/>
      <c r="B208" s="154"/>
      <c r="C208" s="234" t="s">
        <v>277</v>
      </c>
      <c r="D208" s="227"/>
      <c r="E208" s="227"/>
      <c r="F208" s="227"/>
      <c r="G208" s="233"/>
      <c r="H208" s="233">
        <f>H206*2</f>
        <v>12000</v>
      </c>
      <c r="I208" s="96" t="s">
        <v>18</v>
      </c>
      <c r="J208" s="99">
        <v>12000</v>
      </c>
      <c r="K208" s="220" t="s">
        <v>230</v>
      </c>
    </row>
    <row r="209" spans="1:11" ht="17.25" customHeight="1" x14ac:dyDescent="0.25">
      <c r="A209" s="49"/>
      <c r="B209" s="154"/>
      <c r="C209" s="227"/>
      <c r="D209" s="227"/>
      <c r="E209" s="227"/>
      <c r="F209" s="227"/>
      <c r="G209" s="233"/>
      <c r="H209" s="233"/>
      <c r="I209" s="96"/>
      <c r="J209" s="99"/>
      <c r="K209" s="220"/>
    </row>
    <row r="210" spans="1:11" ht="17.25" customHeight="1" x14ac:dyDescent="0.25">
      <c r="A210" s="49"/>
      <c r="B210" s="154"/>
      <c r="C210" s="327" t="s">
        <v>279</v>
      </c>
      <c r="D210" s="327"/>
      <c r="E210" s="327"/>
      <c r="F210" s="327"/>
      <c r="G210" s="233"/>
      <c r="H210" s="235">
        <f>SUM(J201:J208)</f>
        <v>259562</v>
      </c>
      <c r="I210" s="96" t="s">
        <v>18</v>
      </c>
      <c r="J210" s="99"/>
      <c r="K210" s="220"/>
    </row>
    <row r="211" spans="1:11" ht="17.25" customHeight="1" x14ac:dyDescent="0.25">
      <c r="A211" s="49"/>
      <c r="B211" s="154"/>
      <c r="C211" s="227"/>
      <c r="D211" s="227"/>
      <c r="E211" s="293" t="s">
        <v>154</v>
      </c>
      <c r="F211" s="227"/>
      <c r="G211" s="233"/>
      <c r="H211" s="294">
        <f>SUM(J178:J209)</f>
        <v>410347</v>
      </c>
      <c r="I211" s="96"/>
      <c r="J211" s="99">
        <f>H211</f>
        <v>410347</v>
      </c>
      <c r="K211" s="220" t="s">
        <v>230</v>
      </c>
    </row>
    <row r="212" spans="1:11" ht="17.25" customHeight="1" x14ac:dyDescent="0.25">
      <c r="A212" s="152"/>
      <c r="B212" s="155"/>
      <c r="C212" s="236"/>
      <c r="D212" s="7"/>
      <c r="E212" s="7"/>
      <c r="F212" s="7"/>
      <c r="G212" s="7"/>
      <c r="H212" s="7"/>
      <c r="I212" s="237"/>
      <c r="J212" s="153"/>
      <c r="K212" s="221"/>
    </row>
    <row r="213" spans="1:11" ht="14.4" customHeight="1" x14ac:dyDescent="0.25">
      <c r="A213" s="361" t="s">
        <v>192</v>
      </c>
      <c r="B213" s="368" t="s">
        <v>71</v>
      </c>
      <c r="C213" s="37"/>
      <c r="D213" s="186"/>
      <c r="E213" s="186"/>
      <c r="F213" s="186"/>
      <c r="G213" s="186"/>
      <c r="H213" s="186"/>
      <c r="I213" s="186"/>
      <c r="J213" s="36"/>
      <c r="K213" s="220"/>
    </row>
    <row r="214" spans="1:11" x14ac:dyDescent="0.25">
      <c r="A214" s="361"/>
      <c r="B214" s="368"/>
      <c r="C214" s="313"/>
      <c r="D214" s="314"/>
      <c r="E214" s="159"/>
      <c r="F214" s="186"/>
      <c r="G214" s="186"/>
      <c r="H214" s="186"/>
      <c r="I214" s="186"/>
      <c r="J214" s="36"/>
      <c r="K214" s="220"/>
    </row>
    <row r="215" spans="1:11" x14ac:dyDescent="0.25">
      <c r="A215" s="361"/>
      <c r="B215" s="368"/>
      <c r="C215" s="313"/>
      <c r="D215" s="314"/>
      <c r="E215" s="314"/>
      <c r="F215" s="314"/>
      <c r="G215" s="186"/>
      <c r="H215" s="186"/>
      <c r="I215" s="186"/>
      <c r="J215" s="36"/>
      <c r="K215" s="220"/>
    </row>
    <row r="216" spans="1:11" x14ac:dyDescent="0.25">
      <c r="A216" s="49"/>
      <c r="B216" s="368"/>
      <c r="C216" s="312"/>
      <c r="D216" s="311"/>
      <c r="E216" s="186"/>
      <c r="F216" s="186"/>
      <c r="G216" s="186"/>
      <c r="H216" s="186"/>
      <c r="I216" s="186"/>
      <c r="J216" s="36"/>
      <c r="K216" s="220"/>
    </row>
    <row r="217" spans="1:11" x14ac:dyDescent="0.25">
      <c r="A217" s="49"/>
      <c r="B217" s="368"/>
      <c r="C217" s="75"/>
      <c r="D217" s="183"/>
      <c r="E217" s="159"/>
      <c r="F217" s="186"/>
      <c r="G217" s="186"/>
      <c r="H217" s="186"/>
      <c r="I217" s="186"/>
      <c r="J217" s="36"/>
      <c r="K217" s="220"/>
    </row>
    <row r="218" spans="1:11" ht="263.25" customHeight="1" x14ac:dyDescent="0.25">
      <c r="A218" s="49"/>
      <c r="B218" s="368"/>
      <c r="C218" s="75"/>
      <c r="D218" s="186"/>
      <c r="E218" s="159"/>
      <c r="F218" s="186"/>
      <c r="G218" s="186"/>
      <c r="H218" s="186"/>
      <c r="I218" s="186"/>
      <c r="J218" s="36"/>
      <c r="K218" s="220"/>
    </row>
    <row r="219" spans="1:11" ht="36" x14ac:dyDescent="0.25">
      <c r="A219" s="182" t="s">
        <v>240</v>
      </c>
      <c r="B219" s="101" t="s">
        <v>239</v>
      </c>
      <c r="C219" s="325" t="s">
        <v>72</v>
      </c>
      <c r="D219" s="315"/>
      <c r="E219" s="315"/>
      <c r="F219" s="315"/>
      <c r="G219" s="315"/>
      <c r="H219" s="159">
        <f>J211</f>
        <v>410347</v>
      </c>
      <c r="I219" s="186" t="s">
        <v>18</v>
      </c>
      <c r="J219" s="140"/>
      <c r="K219" s="220"/>
    </row>
    <row r="220" spans="1:11" ht="14.4" customHeight="1" x14ac:dyDescent="0.25">
      <c r="A220" s="369" t="s">
        <v>194</v>
      </c>
      <c r="B220" s="340" t="s">
        <v>73</v>
      </c>
      <c r="C220" s="106"/>
      <c r="D220" s="108"/>
      <c r="E220" s="108"/>
      <c r="F220" s="108"/>
      <c r="G220" s="107"/>
      <c r="H220" s="108"/>
      <c r="I220" s="108"/>
      <c r="J220" s="57"/>
      <c r="K220" s="76"/>
    </row>
    <row r="221" spans="1:11" ht="15" customHeight="1" x14ac:dyDescent="0.25">
      <c r="A221" s="361"/>
      <c r="B221" s="341"/>
      <c r="C221" s="313" t="s">
        <v>263</v>
      </c>
      <c r="D221" s="314"/>
      <c r="E221" s="314"/>
      <c r="F221" s="314"/>
      <c r="G221" s="314"/>
      <c r="H221" s="314"/>
      <c r="I221" s="103"/>
      <c r="J221" s="58"/>
      <c r="K221" s="109"/>
    </row>
    <row r="222" spans="1:11" ht="24" customHeight="1" x14ac:dyDescent="0.25">
      <c r="A222" s="361"/>
      <c r="B222" s="341"/>
      <c r="C222" s="158" t="s">
        <v>60</v>
      </c>
      <c r="D222" s="159"/>
      <c r="E222" s="159">
        <f>SQRT(2.5^2+5^2)</f>
        <v>5.5901699437494745</v>
      </c>
      <c r="F222" s="186" t="s">
        <v>6</v>
      </c>
      <c r="G222" s="186"/>
      <c r="H222" s="69"/>
      <c r="I222" s="104"/>
      <c r="J222" s="58"/>
      <c r="K222" s="109"/>
    </row>
    <row r="223" spans="1:11" ht="15" customHeight="1" x14ac:dyDescent="0.25">
      <c r="A223" s="361"/>
      <c r="B223" s="341"/>
      <c r="C223" s="158" t="s">
        <v>61</v>
      </c>
      <c r="D223" s="159"/>
      <c r="E223" s="159">
        <v>1.2</v>
      </c>
      <c r="F223" s="186" t="s">
        <v>6</v>
      </c>
      <c r="G223" s="186"/>
      <c r="H223" s="69"/>
      <c r="I223" s="103"/>
      <c r="J223" s="58"/>
      <c r="K223" s="109"/>
    </row>
    <row r="224" spans="1:11" ht="15" customHeight="1" x14ac:dyDescent="0.25">
      <c r="A224" s="361"/>
      <c r="B224" s="341"/>
      <c r="C224" s="158"/>
      <c r="D224" s="159"/>
      <c r="E224" s="159">
        <f>SUM(E222:E223)</f>
        <v>6.7901699437494747</v>
      </c>
      <c r="F224" s="186" t="s">
        <v>6</v>
      </c>
      <c r="G224" s="186"/>
      <c r="H224" s="69"/>
      <c r="I224" s="103"/>
      <c r="J224" s="58"/>
      <c r="K224" s="109"/>
    </row>
    <row r="225" spans="1:11" x14ac:dyDescent="0.25">
      <c r="A225" s="361"/>
      <c r="B225" s="341"/>
      <c r="C225" s="309" t="s">
        <v>69</v>
      </c>
      <c r="D225" s="310"/>
      <c r="E225" s="83"/>
      <c r="F225" s="181"/>
      <c r="G225" s="83"/>
      <c r="H225" s="95"/>
      <c r="I225" s="105"/>
      <c r="J225" s="58"/>
      <c r="K225" s="109"/>
    </row>
    <row r="226" spans="1:11" ht="24" x14ac:dyDescent="0.25">
      <c r="A226" s="361"/>
      <c r="B226" s="341"/>
      <c r="C226" s="167">
        <v>540</v>
      </c>
      <c r="D226" s="59" t="s">
        <v>20</v>
      </c>
      <c r="E226" s="33">
        <f>E224</f>
        <v>6.7901699437494747</v>
      </c>
      <c r="F226" s="238"/>
      <c r="G226" s="179" t="s">
        <v>16</v>
      </c>
      <c r="H226" s="60">
        <v>0.1</v>
      </c>
      <c r="I226" s="179" t="s">
        <v>21</v>
      </c>
      <c r="J226" s="98">
        <f>C226*E226*H226</f>
        <v>366.66917696247168</v>
      </c>
      <c r="K226" s="220" t="s">
        <v>3</v>
      </c>
    </row>
    <row r="227" spans="1:11" x14ac:dyDescent="0.25">
      <c r="A227" s="160"/>
      <c r="B227" s="170"/>
      <c r="C227" s="167"/>
      <c r="D227" s="59"/>
      <c r="E227" s="88"/>
      <c r="F227" s="238"/>
      <c r="G227" s="179"/>
      <c r="H227" s="60"/>
      <c r="I227" s="179"/>
      <c r="J227" s="98"/>
      <c r="K227" s="220"/>
    </row>
    <row r="228" spans="1:11" x14ac:dyDescent="0.25">
      <c r="A228" s="160"/>
      <c r="B228" s="170"/>
      <c r="C228" s="167"/>
      <c r="D228" s="59"/>
      <c r="E228" s="88"/>
      <c r="F228" s="238"/>
      <c r="G228" s="179"/>
      <c r="H228" s="60"/>
      <c r="I228" s="179"/>
      <c r="J228" s="98"/>
      <c r="K228" s="220"/>
    </row>
    <row r="229" spans="1:11" ht="15" customHeight="1" x14ac:dyDescent="0.25">
      <c r="A229" s="160"/>
      <c r="B229" s="170"/>
      <c r="C229" s="312" t="s">
        <v>264</v>
      </c>
      <c r="D229" s="311"/>
      <c r="E229" s="311"/>
      <c r="F229" s="311"/>
      <c r="G229" s="311"/>
      <c r="H229" s="311"/>
      <c r="I229" s="103"/>
      <c r="J229" s="98"/>
      <c r="K229" s="220"/>
    </row>
    <row r="230" spans="1:11" ht="16.5" customHeight="1" x14ac:dyDescent="0.25">
      <c r="A230" s="182" t="s">
        <v>74</v>
      </c>
      <c r="B230" s="102" t="s">
        <v>75</v>
      </c>
      <c r="C230" s="158" t="s">
        <v>227</v>
      </c>
      <c r="D230" s="186" t="s">
        <v>21</v>
      </c>
      <c r="E230" s="159">
        <f>SQRT(3.5^2+ 7^2)</f>
        <v>7.8262379212492643</v>
      </c>
      <c r="F230" s="186" t="s">
        <v>6</v>
      </c>
      <c r="G230" s="186"/>
      <c r="H230" s="169"/>
      <c r="I230" s="104"/>
      <c r="J230" s="98"/>
      <c r="K230" s="220"/>
    </row>
    <row r="231" spans="1:11" ht="24" x14ac:dyDescent="0.25">
      <c r="A231" s="182"/>
      <c r="B231" s="102"/>
      <c r="C231" s="158" t="s">
        <v>226</v>
      </c>
      <c r="D231" s="186" t="s">
        <v>21</v>
      </c>
      <c r="E231" s="159">
        <v>1.2</v>
      </c>
      <c r="F231" s="186" t="s">
        <v>6</v>
      </c>
      <c r="G231" s="186"/>
      <c r="H231" s="169"/>
      <c r="I231" s="103"/>
      <c r="J231" s="98"/>
      <c r="K231" s="220"/>
    </row>
    <row r="232" spans="1:11" x14ac:dyDescent="0.25">
      <c r="A232" s="182"/>
      <c r="B232" s="102"/>
      <c r="C232" s="158"/>
      <c r="D232" s="159"/>
      <c r="E232" s="159">
        <f>E230+E231</f>
        <v>9.0262379212492636</v>
      </c>
      <c r="F232" s="186"/>
      <c r="G232" s="186"/>
      <c r="H232" s="169"/>
      <c r="I232" s="103"/>
      <c r="J232" s="98"/>
      <c r="K232" s="220"/>
    </row>
    <row r="233" spans="1:11" x14ac:dyDescent="0.25">
      <c r="A233" s="182"/>
      <c r="B233" s="102"/>
      <c r="C233" s="309" t="s">
        <v>69</v>
      </c>
      <c r="D233" s="310"/>
      <c r="E233" s="83"/>
      <c r="F233" s="181"/>
      <c r="G233" s="83"/>
      <c r="H233" s="95"/>
      <c r="I233" s="105"/>
      <c r="J233" s="98"/>
      <c r="K233" s="220"/>
    </row>
    <row r="234" spans="1:11" ht="24" x14ac:dyDescent="0.25">
      <c r="A234" s="182"/>
      <c r="B234" s="102"/>
      <c r="C234" s="167">
        <v>520</v>
      </c>
      <c r="D234" s="59" t="s">
        <v>20</v>
      </c>
      <c r="E234" s="33">
        <f>E232</f>
        <v>9.0262379212492636</v>
      </c>
      <c r="F234" s="238"/>
      <c r="G234" s="179" t="s">
        <v>16</v>
      </c>
      <c r="H234" s="60">
        <v>0.1</v>
      </c>
      <c r="I234" s="179" t="s">
        <v>21</v>
      </c>
      <c r="J234" s="98">
        <f>C234*E234*H234</f>
        <v>469.36437190496173</v>
      </c>
      <c r="K234" s="220" t="s">
        <v>3</v>
      </c>
    </row>
    <row r="235" spans="1:11" x14ac:dyDescent="0.25">
      <c r="A235" s="182"/>
      <c r="B235" s="102"/>
      <c r="C235" s="305" t="s">
        <v>267</v>
      </c>
      <c r="D235" s="306"/>
      <c r="E235" s="306"/>
      <c r="F235" s="306"/>
      <c r="G235" s="306"/>
      <c r="H235" s="306"/>
      <c r="I235" s="69"/>
      <c r="J235" s="98"/>
      <c r="K235" s="220"/>
    </row>
    <row r="236" spans="1:11" ht="24" x14ac:dyDescent="0.25">
      <c r="A236" s="182"/>
      <c r="B236" s="102"/>
      <c r="C236" s="150" t="s">
        <v>268</v>
      </c>
      <c r="D236" s="149" t="s">
        <v>21</v>
      </c>
      <c r="E236" s="190">
        <v>500</v>
      </c>
      <c r="F236" s="125">
        <v>6</v>
      </c>
      <c r="G236" s="125" t="s">
        <v>21</v>
      </c>
      <c r="H236" s="151">
        <f>E236*F236</f>
        <v>3000</v>
      </c>
      <c r="I236" s="151" t="s">
        <v>46</v>
      </c>
      <c r="J236" s="98"/>
      <c r="K236" s="220"/>
    </row>
    <row r="237" spans="1:11" x14ac:dyDescent="0.25">
      <c r="A237" s="182"/>
      <c r="B237" s="102"/>
      <c r="C237" s="309" t="s">
        <v>69</v>
      </c>
      <c r="D237" s="310"/>
      <c r="E237" s="83"/>
      <c r="F237" s="181"/>
      <c r="G237" s="83"/>
      <c r="H237" s="95"/>
      <c r="I237" s="105"/>
      <c r="J237" s="98"/>
      <c r="K237" s="220"/>
    </row>
    <row r="238" spans="1:11" x14ac:dyDescent="0.25">
      <c r="A238" s="182"/>
      <c r="B238" s="102"/>
      <c r="C238" s="167"/>
      <c r="D238" s="59"/>
      <c r="E238" s="33">
        <f>H236</f>
        <v>3000</v>
      </c>
      <c r="F238" s="238"/>
      <c r="G238" s="179" t="s">
        <v>16</v>
      </c>
      <c r="H238" s="60">
        <v>0.15</v>
      </c>
      <c r="I238" s="179" t="s">
        <v>21</v>
      </c>
      <c r="J238" s="98">
        <f>E238*H238</f>
        <v>450</v>
      </c>
      <c r="K238" s="220" t="s">
        <v>3</v>
      </c>
    </row>
    <row r="239" spans="1:11" x14ac:dyDescent="0.25">
      <c r="A239" s="182"/>
      <c r="B239" s="102"/>
      <c r="C239" s="167"/>
      <c r="D239" s="59"/>
      <c r="E239" s="88"/>
      <c r="F239" s="238"/>
      <c r="G239" s="179"/>
      <c r="H239" s="60"/>
      <c r="I239" s="179"/>
      <c r="J239" s="98"/>
      <c r="K239" s="220"/>
    </row>
    <row r="240" spans="1:11" x14ac:dyDescent="0.25">
      <c r="A240" s="182"/>
      <c r="B240" s="102"/>
      <c r="C240" s="167"/>
      <c r="D240" s="59"/>
      <c r="E240" s="88"/>
      <c r="F240" s="238"/>
      <c r="G240" s="179"/>
      <c r="H240" s="60"/>
      <c r="I240" s="179"/>
      <c r="J240" s="98"/>
      <c r="K240" s="220"/>
    </row>
    <row r="241" spans="1:11" ht="15" customHeight="1" x14ac:dyDescent="0.25">
      <c r="A241" s="160"/>
      <c r="B241" s="184"/>
      <c r="C241" s="318" t="s">
        <v>287</v>
      </c>
      <c r="D241" s="319"/>
      <c r="E241" s="319"/>
      <c r="F241" s="319"/>
      <c r="G241" s="319"/>
      <c r="H241" s="319"/>
      <c r="I241" s="320"/>
      <c r="J241" s="58"/>
      <c r="K241" s="109"/>
    </row>
    <row r="242" spans="1:11" ht="15" customHeight="1" x14ac:dyDescent="0.25">
      <c r="A242" s="160"/>
      <c r="B242" s="184"/>
      <c r="C242" s="192"/>
      <c r="D242" s="193"/>
      <c r="E242" s="193"/>
      <c r="F242" s="193"/>
      <c r="G242" s="193"/>
      <c r="H242" s="193"/>
      <c r="I242" s="193"/>
      <c r="J242" s="58"/>
      <c r="K242" s="109"/>
    </row>
    <row r="243" spans="1:11" ht="15" customHeight="1" x14ac:dyDescent="0.25">
      <c r="A243" s="160"/>
      <c r="B243" s="184"/>
      <c r="C243" s="158" t="s">
        <v>227</v>
      </c>
      <c r="D243" s="186" t="s">
        <v>21</v>
      </c>
      <c r="E243" s="159">
        <f>SQRT(3.5^2+ 7^2)</f>
        <v>7.8262379212492643</v>
      </c>
      <c r="F243" s="186" t="s">
        <v>6</v>
      </c>
      <c r="G243" s="186"/>
      <c r="H243" s="169"/>
      <c r="I243" s="104"/>
      <c r="J243" s="58"/>
      <c r="K243" s="109"/>
    </row>
    <row r="244" spans="1:11" ht="15" customHeight="1" x14ac:dyDescent="0.25">
      <c r="A244" s="160"/>
      <c r="B244" s="184"/>
      <c r="C244" s="158" t="s">
        <v>226</v>
      </c>
      <c r="D244" s="186" t="s">
        <v>21</v>
      </c>
      <c r="E244" s="159">
        <v>1.2</v>
      </c>
      <c r="F244" s="186" t="s">
        <v>6</v>
      </c>
      <c r="G244" s="186"/>
      <c r="H244" s="169"/>
      <c r="I244" s="103"/>
      <c r="J244" s="58"/>
      <c r="K244" s="109"/>
    </row>
    <row r="245" spans="1:11" ht="15" customHeight="1" x14ac:dyDescent="0.25">
      <c r="A245" s="160"/>
      <c r="B245" s="184"/>
      <c r="C245" s="158"/>
      <c r="D245" s="159"/>
      <c r="E245" s="159">
        <f>E243+E244</f>
        <v>9.0262379212492636</v>
      </c>
      <c r="F245" s="186"/>
      <c r="G245" s="186"/>
      <c r="H245" s="169"/>
      <c r="I245" s="103"/>
      <c r="J245" s="58"/>
      <c r="K245" s="109"/>
    </row>
    <row r="246" spans="1:11" ht="15" customHeight="1" x14ac:dyDescent="0.25">
      <c r="A246" s="160"/>
      <c r="B246" s="184"/>
      <c r="C246" s="309" t="s">
        <v>69</v>
      </c>
      <c r="D246" s="310"/>
      <c r="E246" s="83"/>
      <c r="F246" s="181"/>
      <c r="G246" s="83"/>
      <c r="H246" s="95"/>
      <c r="I246" s="105"/>
      <c r="J246" s="58"/>
      <c r="K246" s="109"/>
    </row>
    <row r="247" spans="1:11" ht="15" customHeight="1" x14ac:dyDescent="0.25">
      <c r="A247" s="160"/>
      <c r="B247" s="184"/>
      <c r="C247" s="167">
        <v>1520</v>
      </c>
      <c r="D247" s="59" t="s">
        <v>20</v>
      </c>
      <c r="E247" s="33">
        <f>E245</f>
        <v>9.0262379212492636</v>
      </c>
      <c r="F247" s="238"/>
      <c r="G247" s="179" t="s">
        <v>16</v>
      </c>
      <c r="H247" s="60">
        <v>0.1</v>
      </c>
      <c r="I247" s="179" t="s">
        <v>21</v>
      </c>
      <c r="J247" s="58">
        <f>C247*E247*H247</f>
        <v>1371.9881640298881</v>
      </c>
      <c r="K247" s="109" t="s">
        <v>3</v>
      </c>
    </row>
    <row r="248" spans="1:11" ht="15" customHeight="1" x14ac:dyDescent="0.25">
      <c r="A248" s="160"/>
      <c r="B248" s="184"/>
      <c r="C248" s="295"/>
      <c r="D248" s="127"/>
      <c r="E248" s="127"/>
      <c r="F248" s="127"/>
      <c r="G248" s="127"/>
      <c r="H248" s="127"/>
      <c r="I248" s="69"/>
      <c r="J248" s="58"/>
      <c r="K248" s="109"/>
    </row>
    <row r="249" spans="1:11" ht="15" customHeight="1" x14ac:dyDescent="0.25">
      <c r="A249" s="160"/>
      <c r="B249" s="184"/>
      <c r="C249" s="150"/>
      <c r="D249" s="149"/>
      <c r="E249" s="190"/>
      <c r="F249" s="125"/>
      <c r="G249" s="125"/>
      <c r="H249" s="151"/>
      <c r="I249" s="151"/>
      <c r="J249" s="58"/>
      <c r="K249" s="109"/>
    </row>
    <row r="250" spans="1:11" ht="15" customHeight="1" x14ac:dyDescent="0.25">
      <c r="A250" s="160"/>
      <c r="B250" s="184"/>
      <c r="C250" s="176"/>
      <c r="D250" s="177"/>
      <c r="E250" s="83"/>
      <c r="F250" s="181"/>
      <c r="G250" s="83"/>
      <c r="H250" s="95" t="s">
        <v>154</v>
      </c>
      <c r="I250" s="105"/>
      <c r="J250" s="58">
        <f>SUM(J226:J248)</f>
        <v>2658.0217128973218</v>
      </c>
      <c r="K250" s="109" t="s">
        <v>3</v>
      </c>
    </row>
    <row r="251" spans="1:11" x14ac:dyDescent="0.25">
      <c r="A251" s="236"/>
      <c r="B251" s="236"/>
      <c r="C251" s="16"/>
      <c r="D251" s="17"/>
      <c r="E251" s="162"/>
      <c r="F251" s="17"/>
      <c r="G251" s="17"/>
      <c r="H251" s="17"/>
      <c r="I251" s="17"/>
      <c r="J251" s="56"/>
      <c r="K251" s="221"/>
    </row>
    <row r="252" spans="1:11" x14ac:dyDescent="0.25">
      <c r="A252" s="369" t="s">
        <v>196</v>
      </c>
      <c r="B252" s="366" t="s">
        <v>77</v>
      </c>
      <c r="C252" s="318" t="s">
        <v>286</v>
      </c>
      <c r="D252" s="319"/>
      <c r="E252" s="319"/>
      <c r="F252" s="319"/>
      <c r="G252" s="319"/>
      <c r="H252" s="319"/>
      <c r="I252" s="320"/>
      <c r="J252" s="34"/>
      <c r="K252" s="220"/>
    </row>
    <row r="253" spans="1:11" ht="15" customHeight="1" x14ac:dyDescent="0.25">
      <c r="A253" s="361"/>
      <c r="B253" s="367"/>
      <c r="C253" s="313" t="s">
        <v>263</v>
      </c>
      <c r="D253" s="314"/>
      <c r="E253" s="314"/>
      <c r="F253" s="314"/>
      <c r="G253" s="314"/>
      <c r="H253" s="314"/>
      <c r="I253" s="103"/>
      <c r="J253" s="58"/>
      <c r="K253" s="109"/>
    </row>
    <row r="254" spans="1:11" x14ac:dyDescent="0.25">
      <c r="A254" s="361"/>
      <c r="B254" s="367"/>
      <c r="C254" s="158" t="s">
        <v>60</v>
      </c>
      <c r="D254" s="159"/>
      <c r="E254" s="159">
        <f>SQRT(2.5^2+5^2)</f>
        <v>5.5901699437494745</v>
      </c>
      <c r="F254" s="186" t="s">
        <v>6</v>
      </c>
      <c r="G254" s="186"/>
      <c r="H254" s="69"/>
      <c r="I254" s="104"/>
      <c r="J254" s="58"/>
      <c r="K254" s="109"/>
    </row>
    <row r="255" spans="1:11" ht="24" x14ac:dyDescent="0.25">
      <c r="A255" s="361"/>
      <c r="B255" s="367"/>
      <c r="C255" s="158" t="s">
        <v>61</v>
      </c>
      <c r="D255" s="159"/>
      <c r="E255" s="159">
        <v>1.2</v>
      </c>
      <c r="F255" s="186" t="s">
        <v>6</v>
      </c>
      <c r="G255" s="186"/>
      <c r="H255" s="69"/>
      <c r="I255" s="103"/>
      <c r="J255" s="58"/>
      <c r="K255" s="109"/>
    </row>
    <row r="256" spans="1:11" x14ac:dyDescent="0.25">
      <c r="A256" s="361"/>
      <c r="B256" s="367"/>
      <c r="C256" s="158"/>
      <c r="D256" s="159"/>
      <c r="E256" s="159">
        <f>SUM(E254:E255)</f>
        <v>6.7901699437494747</v>
      </c>
      <c r="F256" s="186" t="s">
        <v>6</v>
      </c>
      <c r="G256" s="186"/>
      <c r="H256" s="69"/>
      <c r="I256" s="103"/>
      <c r="J256" s="58"/>
      <c r="K256" s="109"/>
    </row>
    <row r="257" spans="1:11" x14ac:dyDescent="0.25">
      <c r="A257" s="361"/>
      <c r="B257" s="367"/>
      <c r="C257" s="309" t="s">
        <v>69</v>
      </c>
      <c r="D257" s="310"/>
      <c r="E257" s="83"/>
      <c r="F257" s="181"/>
      <c r="G257" s="83"/>
      <c r="H257" s="95"/>
      <c r="I257" s="105"/>
      <c r="J257" s="58"/>
      <c r="K257" s="109"/>
    </row>
    <row r="258" spans="1:11" ht="55.2" customHeight="1" x14ac:dyDescent="0.25">
      <c r="A258" s="361"/>
      <c r="B258" s="367"/>
      <c r="C258" s="167">
        <v>540</v>
      </c>
      <c r="D258" s="59" t="s">
        <v>20</v>
      </c>
      <c r="E258" s="33">
        <f>E256</f>
        <v>6.7901699437494747</v>
      </c>
      <c r="F258" s="238"/>
      <c r="G258" s="179" t="s">
        <v>16</v>
      </c>
      <c r="H258" s="60">
        <v>0.1</v>
      </c>
      <c r="I258" s="179" t="s">
        <v>21</v>
      </c>
      <c r="J258" s="98">
        <f>C258*E258*H258</f>
        <v>366.66917696247168</v>
      </c>
      <c r="K258" s="220" t="s">
        <v>3</v>
      </c>
    </row>
    <row r="259" spans="1:11" ht="33" customHeight="1" x14ac:dyDescent="0.25">
      <c r="A259" s="239" t="s">
        <v>80</v>
      </c>
      <c r="B259" s="143" t="s">
        <v>78</v>
      </c>
      <c r="C259" s="167"/>
      <c r="D259" s="59"/>
      <c r="E259" s="88"/>
      <c r="F259" s="238"/>
      <c r="G259" s="179"/>
      <c r="H259" s="60"/>
      <c r="I259" s="179"/>
      <c r="J259" s="98"/>
      <c r="K259" s="220"/>
    </row>
    <row r="260" spans="1:11" ht="15" customHeight="1" x14ac:dyDescent="0.25">
      <c r="A260" s="224"/>
      <c r="B260" s="224"/>
      <c r="C260" s="312" t="s">
        <v>264</v>
      </c>
      <c r="D260" s="311"/>
      <c r="E260" s="311"/>
      <c r="F260" s="311"/>
      <c r="G260" s="311"/>
      <c r="H260" s="311"/>
      <c r="I260" s="103"/>
      <c r="J260" s="98"/>
      <c r="K260" s="220"/>
    </row>
    <row r="261" spans="1:11" ht="17.25" customHeight="1" x14ac:dyDescent="0.25">
      <c r="A261" s="224"/>
      <c r="B261" s="224"/>
      <c r="C261" s="158" t="s">
        <v>227</v>
      </c>
      <c r="D261" s="186" t="s">
        <v>21</v>
      </c>
      <c r="E261" s="159">
        <f>SQRT(3.5^2+ 7^2)</f>
        <v>7.8262379212492643</v>
      </c>
      <c r="F261" s="186" t="s">
        <v>6</v>
      </c>
      <c r="G261" s="186"/>
      <c r="H261" s="169"/>
      <c r="I261" s="104"/>
      <c r="J261" s="98"/>
      <c r="K261" s="220"/>
    </row>
    <row r="262" spans="1:11" ht="27.75" customHeight="1" x14ac:dyDescent="0.25">
      <c r="A262" s="224"/>
      <c r="B262" s="224"/>
      <c r="C262" s="158" t="s">
        <v>226</v>
      </c>
      <c r="D262" s="186" t="s">
        <v>21</v>
      </c>
      <c r="E262" s="159">
        <v>1.2</v>
      </c>
      <c r="F262" s="186" t="s">
        <v>6</v>
      </c>
      <c r="G262" s="186"/>
      <c r="H262" s="169"/>
      <c r="I262" s="103"/>
      <c r="J262" s="98"/>
      <c r="K262" s="220"/>
    </row>
    <row r="263" spans="1:11" ht="17.25" customHeight="1" x14ac:dyDescent="0.25">
      <c r="A263" s="224"/>
      <c r="B263" s="224"/>
      <c r="C263" s="158"/>
      <c r="D263" s="159"/>
      <c r="E263" s="159">
        <f>E261+E262</f>
        <v>9.0262379212492636</v>
      </c>
      <c r="F263" s="186"/>
      <c r="G263" s="186"/>
      <c r="H263" s="169"/>
      <c r="I263" s="103"/>
      <c r="J263" s="98"/>
      <c r="K263" s="220"/>
    </row>
    <row r="264" spans="1:11" ht="17.25" customHeight="1" x14ac:dyDescent="0.25">
      <c r="A264" s="224"/>
      <c r="B264" s="224"/>
      <c r="C264" s="309" t="s">
        <v>69</v>
      </c>
      <c r="D264" s="310"/>
      <c r="E264" s="83"/>
      <c r="F264" s="181"/>
      <c r="G264" s="83"/>
      <c r="H264" s="95"/>
      <c r="I264" s="105"/>
      <c r="J264" s="98"/>
      <c r="K264" s="220"/>
    </row>
    <row r="265" spans="1:11" ht="17.25" customHeight="1" x14ac:dyDescent="0.25">
      <c r="A265" s="224"/>
      <c r="B265" s="224"/>
      <c r="C265" s="167">
        <v>520</v>
      </c>
      <c r="D265" s="59" t="s">
        <v>20</v>
      </c>
      <c r="E265" s="33">
        <f>E263</f>
        <v>9.0262379212492636</v>
      </c>
      <c r="F265" s="238"/>
      <c r="G265" s="179" t="s">
        <v>16</v>
      </c>
      <c r="H265" s="60">
        <v>0.1</v>
      </c>
      <c r="I265" s="179" t="s">
        <v>21</v>
      </c>
      <c r="J265" s="98">
        <f>C265*E265*H265</f>
        <v>469.36437190496173</v>
      </c>
      <c r="K265" s="220" t="s">
        <v>3</v>
      </c>
    </row>
    <row r="266" spans="1:11" ht="17.25" customHeight="1" x14ac:dyDescent="0.25">
      <c r="A266" s="224"/>
      <c r="B266" s="224"/>
      <c r="C266" s="305" t="s">
        <v>267</v>
      </c>
      <c r="D266" s="306"/>
      <c r="E266" s="306"/>
      <c r="F266" s="306"/>
      <c r="G266" s="306"/>
      <c r="H266" s="306"/>
      <c r="I266" s="69"/>
      <c r="J266" s="98"/>
      <c r="K266" s="220"/>
    </row>
    <row r="267" spans="1:11" ht="17.25" customHeight="1" x14ac:dyDescent="0.25">
      <c r="A267" s="224"/>
      <c r="B267" s="224"/>
      <c r="C267" s="150" t="s">
        <v>268</v>
      </c>
      <c r="D267" s="149" t="s">
        <v>21</v>
      </c>
      <c r="E267" s="190">
        <v>500</v>
      </c>
      <c r="F267" s="125">
        <v>6</v>
      </c>
      <c r="G267" s="125" t="s">
        <v>21</v>
      </c>
      <c r="H267" s="151">
        <f>E267*F267</f>
        <v>3000</v>
      </c>
      <c r="I267" s="151" t="s">
        <v>46</v>
      </c>
      <c r="J267" s="98"/>
      <c r="K267" s="220"/>
    </row>
    <row r="268" spans="1:11" ht="17.25" customHeight="1" x14ac:dyDescent="0.25">
      <c r="A268" s="224"/>
      <c r="B268" s="224"/>
      <c r="C268" s="309" t="s">
        <v>69</v>
      </c>
      <c r="D268" s="310"/>
      <c r="E268" s="83"/>
      <c r="F268" s="181"/>
      <c r="G268" s="83"/>
      <c r="H268" s="95"/>
      <c r="I268" s="105"/>
      <c r="J268" s="98"/>
      <c r="K268" s="220"/>
    </row>
    <row r="269" spans="1:11" ht="17.25" customHeight="1" x14ac:dyDescent="0.25">
      <c r="A269" s="224"/>
      <c r="B269" s="224"/>
      <c r="C269" s="167"/>
      <c r="D269" s="59"/>
      <c r="E269" s="33">
        <f>H267</f>
        <v>3000</v>
      </c>
      <c r="F269" s="238"/>
      <c r="G269" s="179" t="s">
        <v>16</v>
      </c>
      <c r="H269" s="60">
        <v>0.15</v>
      </c>
      <c r="I269" s="179" t="s">
        <v>21</v>
      </c>
      <c r="J269" s="98">
        <f>E269*H269</f>
        <v>450</v>
      </c>
      <c r="K269" s="220" t="s">
        <v>3</v>
      </c>
    </row>
    <row r="270" spans="1:11" ht="17.25" customHeight="1" x14ac:dyDescent="0.25">
      <c r="A270" s="224"/>
      <c r="B270" s="224"/>
      <c r="C270" s="167"/>
      <c r="D270" s="59"/>
      <c r="E270" s="33"/>
      <c r="F270" s="238"/>
      <c r="G270" s="179"/>
      <c r="H270" s="60"/>
      <c r="I270" s="179"/>
      <c r="J270" s="98"/>
      <c r="K270" s="220"/>
    </row>
    <row r="271" spans="1:11" ht="17.25" customHeight="1" x14ac:dyDescent="0.25">
      <c r="A271" s="224"/>
      <c r="B271" s="224"/>
      <c r="C271" s="167" t="s">
        <v>280</v>
      </c>
      <c r="D271" s="59"/>
      <c r="E271" s="33"/>
      <c r="F271" s="238"/>
      <c r="G271" s="179"/>
      <c r="H271" s="60"/>
      <c r="I271" s="179"/>
      <c r="J271" s="98"/>
      <c r="K271" s="220"/>
    </row>
    <row r="272" spans="1:11" ht="17.25" customHeight="1" x14ac:dyDescent="0.25">
      <c r="A272" s="224"/>
      <c r="B272" s="224"/>
      <c r="C272" s="316" t="s">
        <v>281</v>
      </c>
      <c r="D272" s="317"/>
      <c r="E272" s="317"/>
      <c r="F272" s="317"/>
      <c r="G272" s="179"/>
      <c r="H272" s="90">
        <f>H185+H191</f>
        <v>12000</v>
      </c>
      <c r="I272" s="179" t="s">
        <v>18</v>
      </c>
      <c r="J272" s="98"/>
      <c r="K272" s="220"/>
    </row>
    <row r="273" spans="1:11" ht="17.25" customHeight="1" x14ac:dyDescent="0.25">
      <c r="A273" s="224"/>
      <c r="B273" s="224"/>
      <c r="C273" s="309" t="s">
        <v>69</v>
      </c>
      <c r="D273" s="310"/>
      <c r="E273" s="33">
        <f>H272*0.1333</f>
        <v>1599.6</v>
      </c>
      <c r="F273" s="238" t="s">
        <v>3</v>
      </c>
      <c r="G273" s="179"/>
      <c r="H273" s="60"/>
      <c r="I273" s="179"/>
      <c r="J273" s="98"/>
      <c r="K273" s="220"/>
    </row>
    <row r="274" spans="1:11" ht="17.25" customHeight="1" x14ac:dyDescent="0.25">
      <c r="A274" s="224"/>
      <c r="B274" s="224"/>
      <c r="C274" s="167"/>
      <c r="D274" s="59"/>
      <c r="E274" s="88"/>
      <c r="F274" s="238"/>
      <c r="G274" s="179"/>
      <c r="H274" s="60"/>
      <c r="I274" s="179"/>
      <c r="J274" s="98"/>
      <c r="K274" s="220"/>
    </row>
    <row r="275" spans="1:11" ht="17.25" customHeight="1" x14ac:dyDescent="0.25">
      <c r="A275" s="224"/>
      <c r="B275" s="224"/>
      <c r="C275" s="167"/>
      <c r="D275" s="59"/>
      <c r="E275" s="88"/>
      <c r="F275" s="238"/>
      <c r="G275" s="179"/>
      <c r="H275" s="60" t="s">
        <v>154</v>
      </c>
      <c r="I275" s="179"/>
      <c r="J275" s="98">
        <f>J258+J265+J269+E273</f>
        <v>2885.6335488674331</v>
      </c>
      <c r="K275" s="220" t="s">
        <v>3</v>
      </c>
    </row>
    <row r="276" spans="1:11" ht="17.25" customHeight="1" x14ac:dyDescent="0.25">
      <c r="A276" s="224"/>
      <c r="B276" s="224"/>
      <c r="C276" s="167"/>
      <c r="D276" s="59"/>
      <c r="E276" s="88"/>
      <c r="F276" s="238"/>
      <c r="G276" s="179"/>
      <c r="H276" s="60"/>
      <c r="I276" s="179"/>
      <c r="J276" s="88"/>
      <c r="K276" s="220"/>
    </row>
    <row r="277" spans="1:11" ht="17.25" customHeight="1" x14ac:dyDescent="0.25">
      <c r="A277" s="224"/>
      <c r="B277" s="224"/>
      <c r="C277" s="318" t="s">
        <v>287</v>
      </c>
      <c r="D277" s="319"/>
      <c r="E277" s="319"/>
      <c r="F277" s="319"/>
      <c r="G277" s="319"/>
      <c r="H277" s="319"/>
      <c r="I277" s="320"/>
      <c r="J277" s="88"/>
      <c r="K277" s="220"/>
    </row>
    <row r="278" spans="1:11" ht="17.25" customHeight="1" x14ac:dyDescent="0.25">
      <c r="A278" s="224"/>
      <c r="B278" s="224"/>
      <c r="C278" s="158" t="s">
        <v>227</v>
      </c>
      <c r="D278" s="186" t="s">
        <v>21</v>
      </c>
      <c r="E278" s="159">
        <f>SQRT(3.5^2+ 7^2)</f>
        <v>7.8262379212492643</v>
      </c>
      <c r="F278" s="186" t="s">
        <v>6</v>
      </c>
      <c r="G278" s="186"/>
      <c r="H278" s="169"/>
      <c r="I278" s="104"/>
      <c r="J278" s="88"/>
      <c r="K278" s="220"/>
    </row>
    <row r="279" spans="1:11" ht="27" customHeight="1" x14ac:dyDescent="0.25">
      <c r="A279" s="224"/>
      <c r="B279" s="224"/>
      <c r="C279" s="158" t="s">
        <v>226</v>
      </c>
      <c r="D279" s="186" t="s">
        <v>21</v>
      </c>
      <c r="E279" s="159">
        <v>1.2</v>
      </c>
      <c r="F279" s="186" t="s">
        <v>6</v>
      </c>
      <c r="G279" s="186"/>
      <c r="H279" s="169"/>
      <c r="I279" s="103"/>
      <c r="J279" s="88"/>
      <c r="K279" s="220"/>
    </row>
    <row r="280" spans="1:11" ht="17.25" customHeight="1" x14ac:dyDescent="0.25">
      <c r="A280" s="224"/>
      <c r="B280" s="224"/>
      <c r="C280" s="158"/>
      <c r="D280" s="159"/>
      <c r="E280" s="159">
        <f>E278+E279</f>
        <v>9.0262379212492636</v>
      </c>
      <c r="F280" s="186"/>
      <c r="G280" s="186"/>
      <c r="H280" s="169"/>
      <c r="I280" s="103"/>
      <c r="J280" s="88"/>
      <c r="K280" s="220"/>
    </row>
    <row r="281" spans="1:11" ht="17.25" customHeight="1" x14ac:dyDescent="0.25">
      <c r="A281" s="224"/>
      <c r="B281" s="224"/>
      <c r="C281" s="309" t="s">
        <v>69</v>
      </c>
      <c r="D281" s="310"/>
      <c r="E281" s="83"/>
      <c r="F281" s="181"/>
      <c r="G281" s="83"/>
      <c r="H281" s="95"/>
      <c r="I281" s="105"/>
      <c r="J281" s="88"/>
      <c r="K281" s="220"/>
    </row>
    <row r="282" spans="1:11" ht="17.25" customHeight="1" x14ac:dyDescent="0.25">
      <c r="A282" s="224"/>
      <c r="B282" s="224"/>
      <c r="C282" s="167">
        <v>1520</v>
      </c>
      <c r="D282" s="59" t="s">
        <v>20</v>
      </c>
      <c r="E282" s="33">
        <f>E280</f>
        <v>9.0262379212492636</v>
      </c>
      <c r="F282" s="238"/>
      <c r="G282" s="179" t="s">
        <v>16</v>
      </c>
      <c r="H282" s="60">
        <v>0.1</v>
      </c>
      <c r="I282" s="179" t="s">
        <v>21</v>
      </c>
      <c r="J282" s="88">
        <f>C282*E282*H282</f>
        <v>1371.9881640298881</v>
      </c>
      <c r="K282" s="220" t="s">
        <v>3</v>
      </c>
    </row>
    <row r="283" spans="1:11" ht="17.25" customHeight="1" x14ac:dyDescent="0.25">
      <c r="A283" s="224"/>
      <c r="B283" s="224"/>
      <c r="C283" s="167"/>
      <c r="D283" s="59"/>
      <c r="E283" s="88"/>
      <c r="F283" s="238"/>
      <c r="G283" s="179"/>
      <c r="H283" s="60"/>
      <c r="I283" s="179"/>
      <c r="J283" s="88"/>
      <c r="K283" s="220"/>
    </row>
    <row r="284" spans="1:11" ht="17.25" customHeight="1" x14ac:dyDescent="0.25">
      <c r="A284" s="224"/>
      <c r="B284" s="224"/>
      <c r="C284" s="312" t="s">
        <v>274</v>
      </c>
      <c r="D284" s="311"/>
      <c r="E284" s="311"/>
      <c r="F284" s="238"/>
      <c r="G284" s="179"/>
      <c r="H284" s="60"/>
      <c r="I284" s="179"/>
      <c r="J284" s="88"/>
      <c r="K284" s="220"/>
    </row>
    <row r="285" spans="1:11" ht="17.25" customHeight="1" x14ac:dyDescent="0.25">
      <c r="A285" s="224"/>
      <c r="B285" s="224"/>
      <c r="C285" s="167"/>
      <c r="D285" s="59"/>
      <c r="E285" s="88"/>
      <c r="F285" s="238"/>
      <c r="G285" s="179"/>
      <c r="H285" s="60"/>
      <c r="I285" s="179"/>
      <c r="J285" s="88"/>
      <c r="K285" s="220"/>
    </row>
    <row r="286" spans="1:11" ht="17.25" customHeight="1" x14ac:dyDescent="0.25">
      <c r="A286" s="224"/>
      <c r="B286" s="224"/>
      <c r="C286" s="234" t="s">
        <v>277</v>
      </c>
      <c r="D286" s="227"/>
      <c r="E286" s="227"/>
      <c r="F286" s="227"/>
      <c r="G286" s="233"/>
      <c r="H286" s="233">
        <v>12000</v>
      </c>
      <c r="I286" s="96" t="s">
        <v>18</v>
      </c>
      <c r="J286" s="88"/>
      <c r="K286" s="220"/>
    </row>
    <row r="287" spans="1:11" ht="17.25" customHeight="1" x14ac:dyDescent="0.25">
      <c r="A287" s="224"/>
      <c r="B287" s="224"/>
      <c r="C287" s="309" t="s">
        <v>69</v>
      </c>
      <c r="D287" s="310"/>
      <c r="E287" s="88"/>
      <c r="F287" s="238"/>
      <c r="G287" s="179"/>
      <c r="H287" s="60">
        <f>H286*0.1333</f>
        <v>1599.6</v>
      </c>
      <c r="I287" s="179" t="s">
        <v>3</v>
      </c>
      <c r="J287" s="88"/>
      <c r="K287" s="220"/>
    </row>
    <row r="288" spans="1:11" ht="17.25" customHeight="1" x14ac:dyDescent="0.25">
      <c r="A288" s="224"/>
      <c r="B288" s="224"/>
      <c r="C288" s="167"/>
      <c r="D288" s="59"/>
      <c r="E288" s="88"/>
      <c r="F288" s="238"/>
      <c r="G288" s="179"/>
      <c r="H288" s="60" t="s">
        <v>154</v>
      </c>
      <c r="I288" s="179"/>
      <c r="J288" s="88">
        <f>J275+J282+H287</f>
        <v>5857.2217128973207</v>
      </c>
      <c r="K288" s="220"/>
    </row>
    <row r="289" spans="1:13" ht="21.75" customHeight="1" x14ac:dyDescent="0.25">
      <c r="A289" s="236"/>
      <c r="B289" s="236"/>
      <c r="C289" s="16" t="s">
        <v>241</v>
      </c>
      <c r="D289" s="17" t="s">
        <v>21</v>
      </c>
      <c r="E289" s="162">
        <f>J288*0.5</f>
        <v>2928.6108564486603</v>
      </c>
      <c r="F289" s="17" t="s">
        <v>3</v>
      </c>
      <c r="G289" s="17"/>
      <c r="H289" s="17"/>
      <c r="I289" s="17"/>
      <c r="J289" s="111"/>
      <c r="K289" s="221"/>
    </row>
    <row r="290" spans="1:13" ht="52.5" customHeight="1" x14ac:dyDescent="0.25">
      <c r="A290" s="239" t="s">
        <v>81</v>
      </c>
      <c r="B290" s="143" t="s">
        <v>79</v>
      </c>
      <c r="C290" s="37"/>
      <c r="D290" s="186"/>
      <c r="E290" s="161"/>
      <c r="F290" s="186"/>
      <c r="G290" s="186"/>
      <c r="H290" s="186"/>
      <c r="I290" s="186"/>
      <c r="J290" s="34"/>
      <c r="K290" s="220"/>
    </row>
    <row r="291" spans="1:13" ht="18" customHeight="1" x14ac:dyDescent="0.25">
      <c r="A291" s="236"/>
      <c r="B291" s="236"/>
      <c r="C291" s="389" t="s">
        <v>82</v>
      </c>
      <c r="D291" s="390"/>
      <c r="E291" s="390"/>
      <c r="F291" s="390"/>
      <c r="G291" s="17"/>
      <c r="H291" s="165">
        <f>E289</f>
        <v>2928.6108564486603</v>
      </c>
      <c r="I291" s="17" t="s">
        <v>3</v>
      </c>
      <c r="J291" s="111"/>
      <c r="K291" s="221"/>
    </row>
    <row r="292" spans="1:13" x14ac:dyDescent="0.25">
      <c r="A292" s="369" t="s">
        <v>198</v>
      </c>
      <c r="B292" s="391" t="s">
        <v>246</v>
      </c>
      <c r="C292" s="37"/>
      <c r="D292" s="186"/>
      <c r="E292" s="161"/>
      <c r="F292" s="186"/>
      <c r="G292" s="186"/>
      <c r="H292" s="186"/>
      <c r="I292" s="186"/>
      <c r="J292" s="34"/>
      <c r="K292" s="220"/>
    </row>
    <row r="293" spans="1:13" x14ac:dyDescent="0.25">
      <c r="A293" s="361"/>
      <c r="B293" s="392"/>
      <c r="C293" s="37"/>
      <c r="D293" s="186"/>
      <c r="E293" s="161"/>
      <c r="F293" s="186"/>
      <c r="G293" s="186"/>
      <c r="H293" s="186"/>
      <c r="I293" s="186"/>
      <c r="J293" s="34"/>
      <c r="K293" s="220"/>
    </row>
    <row r="294" spans="1:13" x14ac:dyDescent="0.25">
      <c r="A294" s="361"/>
      <c r="B294" s="392"/>
      <c r="C294" s="37"/>
      <c r="D294" s="186"/>
      <c r="E294" s="161"/>
      <c r="F294" s="186"/>
      <c r="G294" s="186"/>
      <c r="H294" s="186"/>
      <c r="I294" s="186"/>
      <c r="J294" s="34"/>
      <c r="K294" s="220"/>
    </row>
    <row r="295" spans="1:13" x14ac:dyDescent="0.25">
      <c r="A295" s="361"/>
      <c r="B295" s="392"/>
      <c r="C295" s="37"/>
      <c r="D295" s="186"/>
      <c r="E295" s="161"/>
      <c r="F295" s="186"/>
      <c r="G295" s="186"/>
      <c r="H295" s="186"/>
      <c r="I295" s="186"/>
      <c r="J295" s="34"/>
      <c r="K295" s="220"/>
    </row>
    <row r="296" spans="1:13" x14ac:dyDescent="0.25">
      <c r="A296" s="361"/>
      <c r="B296" s="392"/>
      <c r="C296" s="37"/>
      <c r="D296" s="186"/>
      <c r="E296" s="161"/>
      <c r="F296" s="186"/>
      <c r="G296" s="186"/>
      <c r="H296" s="186"/>
      <c r="I296" s="186"/>
      <c r="J296" s="34"/>
      <c r="K296" s="220"/>
    </row>
    <row r="297" spans="1:13" x14ac:dyDescent="0.25">
      <c r="A297" s="361"/>
      <c r="B297" s="392"/>
      <c r="C297" s="318" t="s">
        <v>286</v>
      </c>
      <c r="D297" s="319"/>
      <c r="E297" s="319"/>
      <c r="F297" s="319"/>
      <c r="G297" s="319"/>
      <c r="H297" s="319"/>
      <c r="I297" s="320"/>
      <c r="J297" s="34"/>
      <c r="K297" s="220"/>
    </row>
    <row r="298" spans="1:13" ht="339.75" customHeight="1" x14ac:dyDescent="0.25">
      <c r="A298" s="361"/>
      <c r="B298" s="392"/>
      <c r="C298" s="37"/>
      <c r="D298" s="186"/>
      <c r="E298" s="161"/>
      <c r="F298" s="186"/>
      <c r="G298" s="186"/>
      <c r="H298" s="186"/>
      <c r="I298" s="186"/>
      <c r="J298" s="34"/>
      <c r="K298" s="220"/>
    </row>
    <row r="299" spans="1:13" ht="72" x14ac:dyDescent="0.25">
      <c r="A299" s="239" t="s">
        <v>83</v>
      </c>
      <c r="B299" s="240" t="s">
        <v>84</v>
      </c>
      <c r="C299" s="37"/>
      <c r="D299" s="186"/>
      <c r="E299" s="161"/>
      <c r="F299" s="186"/>
      <c r="G299" s="186"/>
      <c r="H299" s="186"/>
      <c r="I299" s="186"/>
      <c r="J299" s="34"/>
      <c r="K299" s="220"/>
    </row>
    <row r="300" spans="1:13" ht="15" customHeight="1" x14ac:dyDescent="0.25">
      <c r="A300" s="224"/>
      <c r="B300" s="224"/>
      <c r="C300" s="313" t="s">
        <v>263</v>
      </c>
      <c r="D300" s="314"/>
      <c r="E300" s="314"/>
      <c r="F300" s="314"/>
      <c r="G300" s="314"/>
      <c r="H300" s="314"/>
      <c r="I300" s="186"/>
      <c r="J300" s="34"/>
      <c r="K300" s="220"/>
    </row>
    <row r="301" spans="1:13" ht="21.75" customHeight="1" x14ac:dyDescent="0.25">
      <c r="A301" s="224"/>
      <c r="B301" s="224"/>
      <c r="C301" s="158" t="s">
        <v>60</v>
      </c>
      <c r="D301" s="159"/>
      <c r="E301" s="159">
        <f>SQRT(2.5^2+5^2)</f>
        <v>5.5901699437494745</v>
      </c>
      <c r="F301" s="186" t="s">
        <v>6</v>
      </c>
      <c r="G301" s="186"/>
      <c r="H301" s="69"/>
      <c r="I301" s="186"/>
      <c r="J301" s="34"/>
      <c r="K301" s="220"/>
    </row>
    <row r="302" spans="1:13" x14ac:dyDescent="0.25">
      <c r="A302" s="224"/>
      <c r="B302" s="224"/>
      <c r="C302" s="158"/>
      <c r="D302" s="159"/>
      <c r="E302" s="159"/>
      <c r="F302" s="186"/>
      <c r="G302" s="186"/>
      <c r="H302" s="69"/>
      <c r="I302" s="186"/>
      <c r="J302" s="34"/>
      <c r="K302" s="220"/>
    </row>
    <row r="303" spans="1:13" ht="24" x14ac:dyDescent="0.25">
      <c r="A303" s="224"/>
      <c r="B303" s="224"/>
      <c r="C303" s="37" t="s">
        <v>242</v>
      </c>
      <c r="D303" s="186"/>
      <c r="E303" s="161"/>
      <c r="F303" s="186"/>
      <c r="G303" s="186"/>
      <c r="H303" s="186"/>
      <c r="I303" s="186"/>
      <c r="J303" s="34"/>
      <c r="K303" s="220"/>
    </row>
    <row r="304" spans="1:13" ht="20.25" customHeight="1" x14ac:dyDescent="0.25">
      <c r="A304" s="224"/>
      <c r="B304" s="224"/>
      <c r="C304" s="313" t="s">
        <v>243</v>
      </c>
      <c r="D304" s="314"/>
      <c r="E304" s="314"/>
      <c r="F304" s="314"/>
      <c r="G304" s="314"/>
      <c r="H304" s="314"/>
      <c r="I304" s="314"/>
      <c r="J304" s="34"/>
      <c r="K304" s="220"/>
      <c r="M304" s="2">
        <f>0.2+0.2+1.2+5.6+0.45+1.35+1</f>
        <v>10</v>
      </c>
    </row>
    <row r="305" spans="1:11" ht="12" customHeight="1" x14ac:dyDescent="0.25">
      <c r="A305" s="224"/>
      <c r="B305" s="224"/>
      <c r="C305" s="37"/>
      <c r="D305" s="183"/>
      <c r="E305" s="161"/>
      <c r="F305" s="183"/>
      <c r="G305" s="186" t="s">
        <v>21</v>
      </c>
      <c r="H305" s="159">
        <v>10</v>
      </c>
      <c r="I305" s="186" t="s">
        <v>6</v>
      </c>
      <c r="J305" s="34"/>
      <c r="K305" s="220"/>
    </row>
    <row r="306" spans="1:11" ht="12" customHeight="1" x14ac:dyDescent="0.25">
      <c r="A306" s="224"/>
      <c r="B306" s="224"/>
      <c r="C306" s="37"/>
      <c r="D306" s="183"/>
      <c r="E306" s="161"/>
      <c r="F306" s="183"/>
      <c r="G306" s="186"/>
      <c r="H306" s="159"/>
      <c r="I306" s="186"/>
      <c r="J306" s="34"/>
      <c r="K306" s="220"/>
    </row>
    <row r="307" spans="1:11" ht="16.5" customHeight="1" x14ac:dyDescent="0.25">
      <c r="A307" s="224"/>
      <c r="B307" s="224"/>
      <c r="C307" s="37" t="s">
        <v>47</v>
      </c>
      <c r="D307" s="183"/>
      <c r="E307" s="161">
        <v>540</v>
      </c>
      <c r="F307" s="183"/>
      <c r="G307" s="186" t="s">
        <v>20</v>
      </c>
      <c r="H307" s="159">
        <f>H305</f>
        <v>10</v>
      </c>
      <c r="I307" s="161" t="s">
        <v>21</v>
      </c>
      <c r="J307" s="34">
        <f>E307*H307</f>
        <v>5400</v>
      </c>
      <c r="K307" s="220" t="s">
        <v>46</v>
      </c>
    </row>
    <row r="308" spans="1:11" ht="12" customHeight="1" x14ac:dyDescent="0.25">
      <c r="A308" s="224"/>
      <c r="B308" s="224"/>
      <c r="C308" s="37"/>
      <c r="D308" s="183"/>
      <c r="E308" s="161"/>
      <c r="F308" s="183"/>
      <c r="G308" s="186"/>
      <c r="H308" s="159"/>
      <c r="I308" s="161"/>
      <c r="J308" s="34"/>
      <c r="K308" s="220"/>
    </row>
    <row r="309" spans="1:11" ht="12" customHeight="1" x14ac:dyDescent="0.25">
      <c r="A309" s="224"/>
      <c r="B309" s="224"/>
      <c r="C309" s="37" t="s">
        <v>87</v>
      </c>
      <c r="D309" s="186"/>
      <c r="E309" s="161"/>
      <c r="F309" s="186"/>
      <c r="G309" s="186"/>
      <c r="H309" s="186"/>
      <c r="I309" s="186"/>
      <c r="J309" s="34"/>
      <c r="K309" s="220"/>
    </row>
    <row r="310" spans="1:11" ht="12" customHeight="1" x14ac:dyDescent="0.25">
      <c r="A310" s="224"/>
      <c r="B310" s="224"/>
      <c r="C310" s="37"/>
      <c r="D310" s="186"/>
      <c r="E310" s="161"/>
      <c r="F310" s="186"/>
      <c r="G310" s="186"/>
      <c r="H310" s="186"/>
      <c r="I310" s="186"/>
      <c r="J310" s="34"/>
      <c r="K310" s="220"/>
    </row>
    <row r="311" spans="1:11" ht="17.25" customHeight="1" x14ac:dyDescent="0.25">
      <c r="A311" s="224"/>
      <c r="B311" s="224"/>
      <c r="C311" s="37" t="s">
        <v>70</v>
      </c>
      <c r="D311" s="186"/>
      <c r="E311" s="161">
        <f>E307</f>
        <v>540</v>
      </c>
      <c r="F311" s="186"/>
      <c r="G311" s="186"/>
      <c r="H311" s="186"/>
      <c r="I311" s="186"/>
      <c r="J311" s="34"/>
      <c r="K311" s="220"/>
    </row>
    <row r="312" spans="1:11" ht="18" customHeight="1" x14ac:dyDescent="0.25">
      <c r="A312" s="224"/>
      <c r="B312" s="224"/>
      <c r="C312" s="37" t="s">
        <v>88</v>
      </c>
      <c r="D312" s="186"/>
      <c r="E312" s="161">
        <v>4</v>
      </c>
      <c r="F312" s="186" t="s">
        <v>6</v>
      </c>
      <c r="G312" s="186"/>
      <c r="H312" s="186"/>
      <c r="I312" s="186"/>
      <c r="J312" s="34"/>
      <c r="K312" s="220"/>
    </row>
    <row r="313" spans="1:11" ht="19.5" customHeight="1" x14ac:dyDescent="0.25">
      <c r="A313" s="224"/>
      <c r="B313" s="224"/>
      <c r="C313" s="313" t="s">
        <v>89</v>
      </c>
      <c r="D313" s="314"/>
      <c r="E313" s="314"/>
      <c r="F313" s="186">
        <f>E311/E312</f>
        <v>135</v>
      </c>
      <c r="G313" s="186"/>
      <c r="H313" s="103">
        <v>135</v>
      </c>
      <c r="I313" s="186" t="s">
        <v>18</v>
      </c>
      <c r="J313" s="34"/>
      <c r="K313" s="220"/>
    </row>
    <row r="314" spans="1:11" ht="12" customHeight="1" x14ac:dyDescent="0.25">
      <c r="A314" s="224"/>
      <c r="B314" s="224"/>
      <c r="C314" s="37"/>
      <c r="D314" s="186"/>
      <c r="E314" s="161"/>
      <c r="F314" s="186"/>
      <c r="G314" s="186"/>
      <c r="H314" s="186"/>
      <c r="I314" s="186"/>
      <c r="J314" s="34"/>
      <c r="K314" s="220"/>
    </row>
    <row r="315" spans="1:11" ht="17.25" customHeight="1" x14ac:dyDescent="0.25">
      <c r="A315" s="224"/>
      <c r="B315" s="224"/>
      <c r="C315" s="37" t="s">
        <v>47</v>
      </c>
      <c r="D315" s="186"/>
      <c r="E315" s="185"/>
      <c r="F315" s="186"/>
      <c r="G315" s="186"/>
      <c r="H315" s="159"/>
      <c r="I315" s="186"/>
      <c r="J315" s="34"/>
      <c r="K315" s="220"/>
    </row>
    <row r="316" spans="1:11" ht="16.5" customHeight="1" x14ac:dyDescent="0.25">
      <c r="A316" s="224"/>
      <c r="B316" s="224"/>
      <c r="C316" s="37">
        <f>H313</f>
        <v>135</v>
      </c>
      <c r="D316" s="186" t="s">
        <v>16</v>
      </c>
      <c r="E316" s="161">
        <f>H307</f>
        <v>10</v>
      </c>
      <c r="F316" s="186"/>
      <c r="G316" s="186" t="s">
        <v>16</v>
      </c>
      <c r="H316" s="159">
        <v>0.31</v>
      </c>
      <c r="I316" s="186" t="s">
        <v>21</v>
      </c>
      <c r="J316" s="34">
        <f>C316*E316*H316</f>
        <v>418.5</v>
      </c>
      <c r="K316" s="220" t="s">
        <v>46</v>
      </c>
    </row>
    <row r="317" spans="1:11" ht="12" customHeight="1" x14ac:dyDescent="0.25">
      <c r="A317" s="224"/>
      <c r="B317" s="224"/>
      <c r="C317" s="37"/>
      <c r="D317" s="186"/>
      <c r="E317" s="161"/>
      <c r="F317" s="186"/>
      <c r="G317" s="186"/>
      <c r="H317" s="159"/>
      <c r="I317" s="186"/>
      <c r="J317" s="34"/>
      <c r="K317" s="220"/>
    </row>
    <row r="318" spans="1:11" ht="21.75" customHeight="1" x14ac:dyDescent="0.25">
      <c r="A318" s="224"/>
      <c r="B318" s="224"/>
      <c r="C318" s="312" t="s">
        <v>245</v>
      </c>
      <c r="D318" s="311"/>
      <c r="E318" s="311"/>
      <c r="F318" s="311"/>
      <c r="G318" s="311"/>
      <c r="H318" s="311"/>
      <c r="I318" s="34">
        <v>10</v>
      </c>
      <c r="J318" s="241">
        <f>100/10</f>
        <v>10</v>
      </c>
      <c r="K318" s="220" t="s">
        <v>230</v>
      </c>
    </row>
    <row r="319" spans="1:11" ht="12" customHeight="1" x14ac:dyDescent="0.25">
      <c r="A319" s="224"/>
      <c r="B319" s="224"/>
      <c r="C319" s="163"/>
      <c r="D319" s="161"/>
      <c r="E319" s="161"/>
      <c r="F319" s="161"/>
      <c r="G319" s="161"/>
      <c r="H319" s="161"/>
      <c r="I319" s="34"/>
      <c r="J319" s="242"/>
      <c r="K319" s="220"/>
    </row>
    <row r="320" spans="1:11" ht="12" customHeight="1" x14ac:dyDescent="0.25">
      <c r="A320" s="224"/>
      <c r="B320" s="224"/>
      <c r="C320" s="312" t="s">
        <v>244</v>
      </c>
      <c r="D320" s="311"/>
      <c r="E320" s="311"/>
      <c r="F320" s="311"/>
      <c r="G320" s="186" t="s">
        <v>21</v>
      </c>
      <c r="H320" s="161">
        <f>503/J318</f>
        <v>50.3</v>
      </c>
      <c r="I320" s="159">
        <f>51</f>
        <v>51</v>
      </c>
      <c r="J320" s="34"/>
      <c r="K320" s="220"/>
    </row>
    <row r="321" spans="1:19" ht="12" customHeight="1" x14ac:dyDescent="0.25">
      <c r="A321" s="224"/>
      <c r="B321" s="224"/>
      <c r="C321" s="163"/>
      <c r="D321" s="161"/>
      <c r="E321" s="161"/>
      <c r="F321" s="161"/>
      <c r="G321" s="161"/>
      <c r="H321" s="161"/>
      <c r="I321" s="186"/>
      <c r="J321" s="34"/>
      <c r="K321" s="220"/>
    </row>
    <row r="322" spans="1:19" ht="12" customHeight="1" x14ac:dyDescent="0.25">
      <c r="A322" s="224"/>
      <c r="B322" s="224"/>
      <c r="C322" s="313" t="s">
        <v>218</v>
      </c>
      <c r="D322" s="314"/>
      <c r="E322" s="314"/>
      <c r="F322" s="314"/>
      <c r="G322" s="314"/>
      <c r="H322" s="159"/>
      <c r="I322" s="186"/>
      <c r="J322" s="34"/>
      <c r="K322" s="220"/>
    </row>
    <row r="323" spans="1:19" ht="12" customHeight="1" x14ac:dyDescent="0.25">
      <c r="A323" s="224"/>
      <c r="B323" s="224"/>
      <c r="C323" s="37">
        <v>4</v>
      </c>
      <c r="D323" s="186" t="s">
        <v>16</v>
      </c>
      <c r="E323" s="161">
        <f>I320</f>
        <v>51</v>
      </c>
      <c r="F323" s="186"/>
      <c r="G323" s="186" t="s">
        <v>16</v>
      </c>
      <c r="H323" s="159">
        <v>1</v>
      </c>
      <c r="I323" s="186" t="s">
        <v>21</v>
      </c>
      <c r="J323" s="34">
        <f>C323*E323*H323</f>
        <v>204</v>
      </c>
      <c r="K323" s="220" t="s">
        <v>46</v>
      </c>
    </row>
    <row r="324" spans="1:19" ht="12" customHeight="1" x14ac:dyDescent="0.25">
      <c r="A324" s="224"/>
      <c r="B324" s="224"/>
      <c r="C324" s="37"/>
      <c r="D324" s="183"/>
      <c r="E324" s="161"/>
      <c r="F324" s="183"/>
      <c r="G324" s="186"/>
      <c r="H324" s="159"/>
      <c r="I324" s="161"/>
      <c r="J324" s="34"/>
      <c r="K324" s="220"/>
    </row>
    <row r="325" spans="1:19" ht="12" customHeight="1" x14ac:dyDescent="0.25">
      <c r="A325" s="224"/>
      <c r="B325" s="224"/>
      <c r="C325" s="37"/>
      <c r="D325" s="183"/>
      <c r="E325" s="161"/>
      <c r="F325" s="183"/>
      <c r="G325" s="186"/>
      <c r="H325" s="104" t="s">
        <v>154</v>
      </c>
      <c r="I325" s="145"/>
      <c r="J325" s="144">
        <f>J307+J316+J323</f>
        <v>6022.5</v>
      </c>
      <c r="K325" s="223" t="s">
        <v>46</v>
      </c>
    </row>
    <row r="326" spans="1:19" ht="12" customHeight="1" x14ac:dyDescent="0.25">
      <c r="A326" s="224"/>
      <c r="B326" s="224"/>
      <c r="C326" s="37"/>
      <c r="D326" s="183"/>
      <c r="E326" s="161"/>
      <c r="F326" s="183"/>
      <c r="G326" s="186"/>
      <c r="H326" s="159"/>
      <c r="I326" s="161"/>
      <c r="J326" s="34"/>
      <c r="K326" s="220"/>
    </row>
    <row r="327" spans="1:19" x14ac:dyDescent="0.25">
      <c r="A327" s="224"/>
      <c r="B327" s="224"/>
      <c r="C327" s="312"/>
      <c r="D327" s="311"/>
      <c r="E327" s="311"/>
      <c r="F327" s="311"/>
      <c r="G327" s="311"/>
      <c r="H327" s="311"/>
      <c r="I327" s="186"/>
      <c r="J327" s="34"/>
      <c r="K327" s="220"/>
    </row>
    <row r="328" spans="1:19" ht="15" customHeight="1" x14ac:dyDescent="0.25">
      <c r="A328" s="224"/>
      <c r="B328" s="224"/>
      <c r="C328" s="312" t="s">
        <v>264</v>
      </c>
      <c r="D328" s="311"/>
      <c r="E328" s="311"/>
      <c r="F328" s="311"/>
      <c r="G328" s="311"/>
      <c r="H328" s="311"/>
      <c r="I328" s="186"/>
      <c r="J328" s="34"/>
      <c r="K328" s="220"/>
    </row>
    <row r="329" spans="1:19" ht="24" x14ac:dyDescent="0.25">
      <c r="A329" s="224"/>
      <c r="B329" s="224"/>
      <c r="C329" s="158" t="s">
        <v>227</v>
      </c>
      <c r="D329" s="186" t="s">
        <v>21</v>
      </c>
      <c r="E329" s="159">
        <f>SQRT(3.5^2+ 7^2)</f>
        <v>7.8262379212492643</v>
      </c>
      <c r="F329" s="186" t="s">
        <v>6</v>
      </c>
      <c r="G329" s="186"/>
      <c r="H329" s="169"/>
      <c r="I329" s="186"/>
      <c r="J329" s="34"/>
      <c r="K329" s="220"/>
      <c r="P329" s="311">
        <f>0.2+0.2+1.2+7.83+0.45+1.35+0.45+6+0.45+1.35+1</f>
        <v>20.48</v>
      </c>
      <c r="Q329" s="311"/>
      <c r="R329" s="311"/>
      <c r="S329" s="311"/>
    </row>
    <row r="330" spans="1:19" ht="18.75" customHeight="1" x14ac:dyDescent="0.25">
      <c r="A330" s="224"/>
      <c r="B330" s="224"/>
      <c r="C330" s="158"/>
      <c r="D330" s="186"/>
      <c r="E330" s="159"/>
      <c r="F330" s="186"/>
      <c r="G330" s="186"/>
      <c r="H330" s="69"/>
      <c r="I330" s="186"/>
      <c r="J330" s="34"/>
      <c r="K330" s="220"/>
    </row>
    <row r="331" spans="1:19" ht="24" x14ac:dyDescent="0.25">
      <c r="A331" s="224"/>
      <c r="B331" s="224"/>
      <c r="C331" s="158" t="s">
        <v>242</v>
      </c>
      <c r="D331" s="186" t="s">
        <v>21</v>
      </c>
      <c r="E331" s="311" t="s">
        <v>273</v>
      </c>
      <c r="F331" s="311"/>
      <c r="G331" s="311"/>
      <c r="H331" s="311"/>
      <c r="I331" s="186"/>
      <c r="J331" s="34" t="s">
        <v>6</v>
      </c>
      <c r="K331" s="220"/>
      <c r="M331" s="311">
        <f>0.2+0.2+1.2+5.59+0.45+1.35+1</f>
        <v>9.99</v>
      </c>
      <c r="N331" s="311"/>
      <c r="O331" s="311"/>
      <c r="P331" s="311"/>
    </row>
    <row r="332" spans="1:19" ht="24" x14ac:dyDescent="0.25">
      <c r="A332" s="224"/>
      <c r="B332" s="224"/>
      <c r="C332" s="158"/>
      <c r="D332" s="149" t="s">
        <v>21</v>
      </c>
      <c r="E332" s="190">
        <v>20.5</v>
      </c>
      <c r="F332" s="161" t="s">
        <v>6</v>
      </c>
      <c r="G332" s="161"/>
      <c r="H332" s="161"/>
      <c r="I332" s="186"/>
      <c r="J332" s="34"/>
      <c r="K332" s="220"/>
      <c r="M332" s="161"/>
      <c r="N332" s="161"/>
      <c r="O332" s="161"/>
      <c r="P332" s="161"/>
    </row>
    <row r="333" spans="1:19" ht="24" customHeight="1" x14ac:dyDescent="0.25">
      <c r="A333" s="224"/>
      <c r="B333" s="224"/>
      <c r="C333" s="37" t="s">
        <v>47</v>
      </c>
      <c r="D333" s="186"/>
      <c r="E333" s="161">
        <v>520</v>
      </c>
      <c r="F333" s="186"/>
      <c r="G333" s="186" t="s">
        <v>20</v>
      </c>
      <c r="H333" s="159">
        <f>E332</f>
        <v>20.5</v>
      </c>
      <c r="I333" s="186"/>
      <c r="J333" s="34"/>
      <c r="K333" s="220"/>
    </row>
    <row r="334" spans="1:19" x14ac:dyDescent="0.25">
      <c r="A334" s="224"/>
      <c r="B334" s="224"/>
      <c r="C334" s="37" t="s">
        <v>21</v>
      </c>
      <c r="D334" s="186"/>
      <c r="E334" s="161">
        <f>E333*H333</f>
        <v>10660</v>
      </c>
      <c r="F334" s="186" t="s">
        <v>46</v>
      </c>
      <c r="G334" s="186"/>
      <c r="H334" s="186"/>
      <c r="I334" s="186"/>
      <c r="J334" s="34"/>
      <c r="K334" s="220"/>
    </row>
    <row r="335" spans="1:19" x14ac:dyDescent="0.25">
      <c r="A335" s="224"/>
      <c r="B335" s="224"/>
      <c r="C335" s="37" t="s">
        <v>87</v>
      </c>
      <c r="D335" s="186"/>
      <c r="E335" s="161"/>
      <c r="F335" s="186"/>
      <c r="G335" s="186"/>
      <c r="H335" s="186"/>
      <c r="I335" s="186"/>
      <c r="J335" s="34"/>
      <c r="K335" s="220"/>
    </row>
    <row r="336" spans="1:19" x14ac:dyDescent="0.25">
      <c r="A336" s="224"/>
      <c r="B336" s="224"/>
      <c r="C336" s="37"/>
      <c r="D336" s="186"/>
      <c r="E336" s="161"/>
      <c r="F336" s="186"/>
      <c r="G336" s="186"/>
      <c r="H336" s="186"/>
      <c r="I336" s="186"/>
      <c r="J336" s="34"/>
      <c r="K336" s="220"/>
    </row>
    <row r="337" spans="1:11" x14ac:dyDescent="0.25">
      <c r="A337" s="224"/>
      <c r="B337" s="224"/>
      <c r="C337" s="37" t="s">
        <v>70</v>
      </c>
      <c r="D337" s="186"/>
      <c r="E337" s="161">
        <f>E333</f>
        <v>520</v>
      </c>
      <c r="F337" s="186"/>
      <c r="G337" s="186"/>
      <c r="H337" s="186"/>
      <c r="I337" s="186"/>
      <c r="J337" s="34"/>
      <c r="K337" s="220"/>
    </row>
    <row r="338" spans="1:11" x14ac:dyDescent="0.25">
      <c r="A338" s="224"/>
      <c r="B338" s="224"/>
      <c r="C338" s="37" t="s">
        <v>88</v>
      </c>
      <c r="D338" s="186"/>
      <c r="E338" s="161">
        <v>4</v>
      </c>
      <c r="F338" s="186" t="s">
        <v>6</v>
      </c>
      <c r="G338" s="186"/>
      <c r="H338" s="186"/>
      <c r="I338" s="186"/>
      <c r="J338" s="34"/>
      <c r="K338" s="220"/>
    </row>
    <row r="339" spans="1:11" ht="24" customHeight="1" x14ac:dyDescent="0.25">
      <c r="A339" s="224"/>
      <c r="B339" s="224"/>
      <c r="C339" s="313" t="s">
        <v>89</v>
      </c>
      <c r="D339" s="314"/>
      <c r="E339" s="314"/>
      <c r="F339" s="186">
        <f>E337/E338</f>
        <v>130</v>
      </c>
      <c r="G339" s="186"/>
      <c r="H339" s="103">
        <v>130</v>
      </c>
      <c r="I339" s="186" t="s">
        <v>18</v>
      </c>
      <c r="J339" s="34"/>
      <c r="K339" s="220"/>
    </row>
    <row r="340" spans="1:11" x14ac:dyDescent="0.25">
      <c r="A340" s="224"/>
      <c r="B340" s="224"/>
      <c r="C340" s="37"/>
      <c r="D340" s="186"/>
      <c r="E340" s="161"/>
      <c r="F340" s="186"/>
      <c r="G340" s="186"/>
      <c r="H340" s="186"/>
      <c r="I340" s="186"/>
      <c r="J340" s="34"/>
      <c r="K340" s="220"/>
    </row>
    <row r="341" spans="1:11" x14ac:dyDescent="0.25">
      <c r="A341" s="224"/>
      <c r="B341" s="224"/>
      <c r="C341" s="37" t="s">
        <v>47</v>
      </c>
      <c r="D341" s="186"/>
      <c r="E341" s="185"/>
      <c r="F341" s="186"/>
      <c r="G341" s="186"/>
      <c r="H341" s="159"/>
      <c r="I341" s="186"/>
      <c r="J341" s="34"/>
      <c r="K341" s="220"/>
    </row>
    <row r="342" spans="1:11" x14ac:dyDescent="0.25">
      <c r="A342" s="224"/>
      <c r="B342" s="224"/>
      <c r="C342" s="37">
        <f>H339</f>
        <v>130</v>
      </c>
      <c r="D342" s="186" t="s">
        <v>16</v>
      </c>
      <c r="E342" s="161">
        <f>H333</f>
        <v>20.5</v>
      </c>
      <c r="F342" s="186"/>
      <c r="G342" s="186" t="s">
        <v>16</v>
      </c>
      <c r="H342" s="159">
        <v>0.31</v>
      </c>
      <c r="I342" s="186" t="s">
        <v>21</v>
      </c>
      <c r="J342" s="34">
        <f>C342*E342*H342</f>
        <v>826.15</v>
      </c>
      <c r="K342" s="220" t="s">
        <v>46</v>
      </c>
    </row>
    <row r="343" spans="1:11" x14ac:dyDescent="0.25">
      <c r="A343" s="224"/>
      <c r="B343" s="224"/>
      <c r="C343" s="37"/>
      <c r="D343" s="186"/>
      <c r="E343" s="161"/>
      <c r="F343" s="186"/>
      <c r="G343" s="186"/>
      <c r="H343" s="159"/>
      <c r="I343" s="186"/>
      <c r="J343" s="34"/>
      <c r="K343" s="220"/>
    </row>
    <row r="344" spans="1:11" x14ac:dyDescent="0.25">
      <c r="A344" s="224"/>
      <c r="B344" s="224"/>
      <c r="C344" s="312" t="s">
        <v>245</v>
      </c>
      <c r="D344" s="311"/>
      <c r="E344" s="311"/>
      <c r="F344" s="311"/>
      <c r="G344" s="311"/>
      <c r="H344" s="311"/>
      <c r="I344" s="186">
        <f>100/20.5</f>
        <v>4.8780487804878048</v>
      </c>
      <c r="J344" s="34" t="s">
        <v>230</v>
      </c>
      <c r="K344" s="220"/>
    </row>
    <row r="345" spans="1:11" x14ac:dyDescent="0.25">
      <c r="A345" s="224"/>
      <c r="B345" s="224"/>
      <c r="C345" s="37"/>
      <c r="D345" s="186"/>
      <c r="E345" s="161"/>
      <c r="F345" s="186"/>
      <c r="G345" s="186"/>
      <c r="H345" s="159"/>
      <c r="I345" s="186"/>
      <c r="J345" s="34"/>
      <c r="K345" s="220"/>
    </row>
    <row r="346" spans="1:11" x14ac:dyDescent="0.25">
      <c r="A346" s="224"/>
      <c r="B346" s="224"/>
      <c r="C346" s="312" t="s">
        <v>244</v>
      </c>
      <c r="D346" s="311"/>
      <c r="E346" s="311"/>
      <c r="F346" s="311"/>
      <c r="G346" s="186"/>
      <c r="H346" s="159">
        <f>H339/I344</f>
        <v>26.650000000000002</v>
      </c>
      <c r="I346" s="186">
        <f>27</f>
        <v>27</v>
      </c>
      <c r="J346" s="34"/>
      <c r="K346" s="220"/>
    </row>
    <row r="347" spans="1:11" x14ac:dyDescent="0.25">
      <c r="A347" s="224"/>
      <c r="B347" s="224"/>
      <c r="C347" s="37"/>
      <c r="D347" s="186"/>
      <c r="E347" s="161"/>
      <c r="F347" s="186"/>
      <c r="G347" s="186"/>
      <c r="H347" s="159"/>
      <c r="I347" s="186"/>
      <c r="J347" s="34"/>
      <c r="K347" s="220"/>
    </row>
    <row r="348" spans="1:11" ht="18.75" customHeight="1" x14ac:dyDescent="0.25">
      <c r="A348" s="224"/>
      <c r="B348" s="224"/>
      <c r="C348" s="313" t="s">
        <v>218</v>
      </c>
      <c r="D348" s="314"/>
      <c r="E348" s="314"/>
      <c r="F348" s="314"/>
      <c r="G348" s="314"/>
      <c r="H348" s="159"/>
      <c r="I348" s="186"/>
      <c r="J348" s="34"/>
      <c r="K348" s="220"/>
    </row>
    <row r="349" spans="1:11" x14ac:dyDescent="0.25">
      <c r="A349" s="224"/>
      <c r="B349" s="224"/>
      <c r="C349" s="37">
        <v>4</v>
      </c>
      <c r="D349" s="186" t="s">
        <v>16</v>
      </c>
      <c r="E349" s="161">
        <f>I346</f>
        <v>27</v>
      </c>
      <c r="F349" s="186"/>
      <c r="G349" s="186" t="s">
        <v>16</v>
      </c>
      <c r="H349" s="159">
        <v>1</v>
      </c>
      <c r="I349" s="186" t="s">
        <v>21</v>
      </c>
      <c r="J349" s="34">
        <f>C349*E349*H349</f>
        <v>108</v>
      </c>
      <c r="K349" s="220" t="s">
        <v>46</v>
      </c>
    </row>
    <row r="350" spans="1:11" x14ac:dyDescent="0.25">
      <c r="A350" s="224"/>
      <c r="B350" s="224"/>
      <c r="C350" s="37"/>
      <c r="D350" s="186"/>
      <c r="E350" s="161"/>
      <c r="F350" s="186"/>
      <c r="G350" s="186"/>
      <c r="H350" s="159"/>
      <c r="I350" s="186"/>
      <c r="J350" s="34"/>
      <c r="K350" s="220"/>
    </row>
    <row r="351" spans="1:11" x14ac:dyDescent="0.25">
      <c r="A351" s="224"/>
      <c r="B351" s="224"/>
      <c r="C351" s="37"/>
      <c r="D351" s="186"/>
      <c r="E351" s="161"/>
      <c r="F351" s="186"/>
      <c r="G351" s="186"/>
      <c r="H351" s="186"/>
      <c r="I351" s="103" t="s">
        <v>154</v>
      </c>
      <c r="J351" s="144">
        <f>E334+J342+J349</f>
        <v>11594.15</v>
      </c>
      <c r="K351" s="223" t="s">
        <v>46</v>
      </c>
    </row>
    <row r="352" spans="1:11" x14ac:dyDescent="0.25">
      <c r="A352" s="224"/>
      <c r="B352" s="224"/>
      <c r="C352" s="37"/>
      <c r="D352" s="186"/>
      <c r="E352" s="161"/>
      <c r="F352" s="186"/>
      <c r="G352" s="315" t="s">
        <v>19</v>
      </c>
      <c r="H352" s="315"/>
      <c r="I352" s="186"/>
      <c r="J352" s="34">
        <f>J325+J351</f>
        <v>17616.650000000001</v>
      </c>
      <c r="K352" s="220" t="s">
        <v>46</v>
      </c>
    </row>
    <row r="353" spans="1:11" x14ac:dyDescent="0.25">
      <c r="A353" s="224"/>
      <c r="B353" s="224"/>
      <c r="C353" s="318" t="s">
        <v>287</v>
      </c>
      <c r="D353" s="319"/>
      <c r="E353" s="319"/>
      <c r="F353" s="319"/>
      <c r="G353" s="319"/>
      <c r="H353" s="319"/>
      <c r="I353" s="320"/>
      <c r="J353" s="34"/>
      <c r="K353" s="220"/>
    </row>
    <row r="354" spans="1:11" x14ac:dyDescent="0.25">
      <c r="A354" s="224"/>
      <c r="B354" s="224"/>
      <c r="C354" s="203"/>
      <c r="D354" s="204"/>
      <c r="E354" s="204"/>
      <c r="F354" s="204"/>
      <c r="G354" s="204"/>
      <c r="H354" s="204"/>
      <c r="I354" s="204"/>
      <c r="J354" s="34"/>
      <c r="K354" s="220"/>
    </row>
    <row r="355" spans="1:11" x14ac:dyDescent="0.25">
      <c r="A355" s="224"/>
      <c r="B355" s="224"/>
      <c r="C355" s="206" t="s">
        <v>227</v>
      </c>
      <c r="D355" s="207"/>
      <c r="E355" s="207">
        <f>SQRT(3.5^2+7^2)</f>
        <v>7.8262379212492643</v>
      </c>
      <c r="F355" s="207"/>
      <c r="G355" s="207"/>
      <c r="H355" s="207"/>
      <c r="I355" s="207"/>
      <c r="J355" s="34"/>
      <c r="K355" s="220"/>
    </row>
    <row r="356" spans="1:11" x14ac:dyDescent="0.25">
      <c r="A356" s="224"/>
      <c r="B356" s="224"/>
      <c r="C356" s="206" t="s">
        <v>299</v>
      </c>
      <c r="D356" s="207"/>
      <c r="E356" s="207">
        <f>0.2+1.5+0.45+1.35+1</f>
        <v>4.5</v>
      </c>
      <c r="F356" s="207"/>
      <c r="G356" s="207"/>
      <c r="H356" s="207"/>
      <c r="I356" s="207"/>
      <c r="J356" s="34"/>
      <c r="K356" s="220"/>
    </row>
    <row r="357" spans="1:11" x14ac:dyDescent="0.25">
      <c r="A357" s="224"/>
      <c r="B357" s="224"/>
      <c r="C357" s="206" t="s">
        <v>154</v>
      </c>
      <c r="D357" s="207"/>
      <c r="E357" s="207">
        <f>SUM(E355:E356)</f>
        <v>12.326237921249264</v>
      </c>
      <c r="F357" s="207"/>
      <c r="G357" s="207"/>
      <c r="H357" s="207"/>
      <c r="I357" s="207"/>
      <c r="J357" s="34"/>
      <c r="K357" s="220"/>
    </row>
    <row r="358" spans="1:11" x14ac:dyDescent="0.25">
      <c r="A358" s="224"/>
      <c r="B358" s="224"/>
      <c r="C358" s="206"/>
      <c r="D358" s="207"/>
      <c r="E358" s="207"/>
      <c r="F358" s="207"/>
      <c r="G358" s="207"/>
      <c r="H358" s="207"/>
      <c r="I358" s="207"/>
      <c r="J358" s="34"/>
      <c r="K358" s="220"/>
    </row>
    <row r="359" spans="1:11" x14ac:dyDescent="0.25">
      <c r="A359" s="224"/>
      <c r="B359" s="224"/>
      <c r="C359" s="206" t="s">
        <v>268</v>
      </c>
      <c r="D359" s="207"/>
      <c r="E359" s="207"/>
      <c r="F359" s="207"/>
      <c r="G359" s="207"/>
      <c r="H359" s="207"/>
      <c r="I359" s="207"/>
      <c r="J359" s="34"/>
      <c r="K359" s="220"/>
    </row>
    <row r="360" spans="1:11" x14ac:dyDescent="0.25">
      <c r="A360" s="224"/>
      <c r="B360" s="224"/>
      <c r="C360" s="207">
        <v>1520</v>
      </c>
      <c r="D360" s="208" t="s">
        <v>16</v>
      </c>
      <c r="E360" s="207">
        <f>E357</f>
        <v>12.326237921249264</v>
      </c>
      <c r="G360" s="207"/>
      <c r="H360" s="207">
        <f>C360*E360</f>
        <v>18735.881640298881</v>
      </c>
      <c r="I360" s="207" t="s">
        <v>46</v>
      </c>
      <c r="J360" s="34"/>
      <c r="K360" s="220"/>
    </row>
    <row r="361" spans="1:11" x14ac:dyDescent="0.25">
      <c r="A361" s="224"/>
      <c r="B361" s="224"/>
      <c r="C361" s="206"/>
      <c r="D361" s="208"/>
      <c r="F361" s="207"/>
      <c r="G361" s="207"/>
      <c r="H361" s="207"/>
      <c r="I361" s="207"/>
      <c r="J361" s="34"/>
      <c r="K361" s="220"/>
    </row>
    <row r="362" spans="1:11" x14ac:dyDescent="0.25">
      <c r="A362" s="224"/>
      <c r="B362" s="224"/>
      <c r="C362" s="37" t="s">
        <v>87</v>
      </c>
      <c r="D362" s="208"/>
      <c r="E362" s="207"/>
      <c r="F362" s="208"/>
      <c r="G362" s="208"/>
      <c r="H362" s="208"/>
      <c r="I362" s="208"/>
      <c r="J362" s="34"/>
      <c r="K362" s="220"/>
    </row>
    <row r="363" spans="1:11" x14ac:dyDescent="0.25">
      <c r="A363" s="224"/>
      <c r="B363" s="224"/>
      <c r="C363" s="37"/>
      <c r="D363" s="208"/>
      <c r="E363" s="207"/>
      <c r="F363" s="208"/>
      <c r="G363" s="208"/>
      <c r="H363" s="208"/>
      <c r="I363" s="208"/>
      <c r="J363" s="34"/>
      <c r="K363" s="220"/>
    </row>
    <row r="364" spans="1:11" x14ac:dyDescent="0.25">
      <c r="A364" s="224"/>
      <c r="B364" s="224"/>
      <c r="C364" s="37" t="s">
        <v>70</v>
      </c>
      <c r="D364" s="208"/>
      <c r="E364" s="207">
        <f>E360</f>
        <v>12.326237921249264</v>
      </c>
      <c r="F364" s="208"/>
      <c r="G364" s="208"/>
      <c r="H364" s="208"/>
      <c r="I364" s="208"/>
      <c r="J364" s="34"/>
      <c r="K364" s="220"/>
    </row>
    <row r="365" spans="1:11" x14ac:dyDescent="0.25">
      <c r="A365" s="224"/>
      <c r="B365" s="224"/>
      <c r="C365" s="37" t="s">
        <v>88</v>
      </c>
      <c r="D365" s="208"/>
      <c r="E365" s="207">
        <v>4</v>
      </c>
      <c r="F365" s="208" t="s">
        <v>6</v>
      </c>
      <c r="G365" s="208"/>
      <c r="H365" s="208"/>
      <c r="I365" s="208"/>
      <c r="J365" s="34"/>
      <c r="K365" s="220"/>
    </row>
    <row r="366" spans="1:11" x14ac:dyDescent="0.25">
      <c r="A366" s="224"/>
      <c r="B366" s="224"/>
      <c r="C366" s="313" t="s">
        <v>89</v>
      </c>
      <c r="D366" s="314"/>
      <c r="E366" s="314"/>
      <c r="F366" s="208">
        <f>C360/E365</f>
        <v>380</v>
      </c>
      <c r="G366" s="208"/>
      <c r="H366" s="103">
        <f>F366</f>
        <v>380</v>
      </c>
      <c r="I366" s="208" t="s">
        <v>18</v>
      </c>
      <c r="J366" s="34"/>
      <c r="K366" s="220"/>
    </row>
    <row r="367" spans="1:11" x14ac:dyDescent="0.25">
      <c r="A367" s="224"/>
      <c r="B367" s="224"/>
      <c r="C367" s="37"/>
      <c r="D367" s="208"/>
      <c r="E367" s="207"/>
      <c r="F367" s="208"/>
      <c r="G367" s="208"/>
      <c r="H367" s="208"/>
      <c r="I367" s="208"/>
      <c r="J367" s="34"/>
      <c r="K367" s="220"/>
    </row>
    <row r="368" spans="1:11" x14ac:dyDescent="0.25">
      <c r="A368" s="224"/>
      <c r="B368" s="224"/>
      <c r="C368" s="37" t="s">
        <v>47</v>
      </c>
      <c r="D368" s="208"/>
      <c r="E368" s="209"/>
      <c r="F368" s="208"/>
      <c r="G368" s="208"/>
      <c r="H368" s="205"/>
      <c r="I368" s="208"/>
      <c r="J368" s="34"/>
      <c r="K368" s="220"/>
    </row>
    <row r="369" spans="1:11" x14ac:dyDescent="0.25">
      <c r="A369" s="224"/>
      <c r="B369" s="224"/>
      <c r="C369" s="37">
        <f>H366</f>
        <v>380</v>
      </c>
      <c r="D369" s="208" t="s">
        <v>16</v>
      </c>
      <c r="E369" s="207">
        <f>E357</f>
        <v>12.326237921249264</v>
      </c>
      <c r="F369" s="208"/>
      <c r="G369" s="208" t="s">
        <v>16</v>
      </c>
      <c r="H369" s="205">
        <v>0.31</v>
      </c>
      <c r="I369" s="208" t="s">
        <v>21</v>
      </c>
      <c r="J369" s="34">
        <f>C369*E369*H369</f>
        <v>1452.0308271231634</v>
      </c>
      <c r="K369" s="220" t="s">
        <v>46</v>
      </c>
    </row>
    <row r="370" spans="1:11" x14ac:dyDescent="0.25">
      <c r="A370" s="224"/>
      <c r="B370" s="224"/>
      <c r="C370" s="37"/>
      <c r="D370" s="208"/>
      <c r="E370" s="207"/>
      <c r="F370" s="208"/>
      <c r="G370" s="208"/>
      <c r="H370" s="205"/>
      <c r="I370" s="208"/>
      <c r="J370" s="34"/>
      <c r="K370" s="220"/>
    </row>
    <row r="371" spans="1:11" x14ac:dyDescent="0.25">
      <c r="A371" s="224"/>
      <c r="B371" s="224"/>
      <c r="C371" s="312" t="s">
        <v>245</v>
      </c>
      <c r="D371" s="311"/>
      <c r="E371" s="311"/>
      <c r="F371" s="311"/>
      <c r="G371" s="311"/>
      <c r="H371" s="311"/>
      <c r="I371" s="241">
        <f>100/E357</f>
        <v>8.1127754176811315</v>
      </c>
      <c r="J371" s="2"/>
      <c r="K371" s="220" t="s">
        <v>230</v>
      </c>
    </row>
    <row r="372" spans="1:11" x14ac:dyDescent="0.25">
      <c r="A372" s="224"/>
      <c r="B372" s="224"/>
      <c r="C372" s="206"/>
      <c r="D372" s="207"/>
      <c r="E372" s="207"/>
      <c r="F372" s="207"/>
      <c r="G372" s="207"/>
      <c r="H372" s="207"/>
      <c r="I372" s="34"/>
      <c r="J372" s="242"/>
      <c r="K372" s="220"/>
    </row>
    <row r="373" spans="1:11" x14ac:dyDescent="0.25">
      <c r="A373" s="224"/>
      <c r="B373" s="224"/>
      <c r="C373" s="312" t="s">
        <v>244</v>
      </c>
      <c r="D373" s="311"/>
      <c r="E373" s="311"/>
      <c r="F373" s="311"/>
      <c r="G373" s="208" t="s">
        <v>21</v>
      </c>
      <c r="H373" s="207">
        <f>H366/I371</f>
        <v>46.839704100747205</v>
      </c>
      <c r="I373" s="205">
        <f>H373</f>
        <v>46.839704100747205</v>
      </c>
      <c r="J373" s="34"/>
      <c r="K373" s="220"/>
    </row>
    <row r="374" spans="1:11" ht="15" customHeight="1" x14ac:dyDescent="0.25">
      <c r="A374" s="224"/>
      <c r="B374" s="224"/>
      <c r="C374" s="206"/>
      <c r="D374" s="207"/>
      <c r="E374" s="207"/>
      <c r="F374" s="207"/>
      <c r="G374" s="207"/>
      <c r="H374" s="207"/>
      <c r="I374" s="208"/>
      <c r="J374" s="34"/>
      <c r="K374" s="220"/>
    </row>
    <row r="375" spans="1:11" x14ac:dyDescent="0.25">
      <c r="A375" s="224"/>
      <c r="B375" s="224"/>
      <c r="C375" s="313" t="s">
        <v>218</v>
      </c>
      <c r="D375" s="314"/>
      <c r="E375" s="314"/>
      <c r="F375" s="314"/>
      <c r="G375" s="314"/>
      <c r="H375" s="205"/>
      <c r="I375" s="208"/>
      <c r="J375" s="34"/>
      <c r="K375" s="220"/>
    </row>
    <row r="376" spans="1:11" x14ac:dyDescent="0.25">
      <c r="A376" s="224"/>
      <c r="B376" s="224"/>
      <c r="C376" s="37">
        <v>4</v>
      </c>
      <c r="D376" s="208" t="s">
        <v>16</v>
      </c>
      <c r="E376" s="207">
        <f>I373</f>
        <v>46.839704100747205</v>
      </c>
      <c r="F376" s="208"/>
      <c r="G376" s="208" t="s">
        <v>16</v>
      </c>
      <c r="H376" s="205">
        <v>1</v>
      </c>
      <c r="I376" s="208" t="s">
        <v>21</v>
      </c>
      <c r="J376" s="34">
        <f>C376*E376*H376</f>
        <v>187.35881640298882</v>
      </c>
      <c r="K376" s="220" t="s">
        <v>46</v>
      </c>
    </row>
    <row r="377" spans="1:11" x14ac:dyDescent="0.25">
      <c r="A377" s="224"/>
      <c r="B377" s="224"/>
      <c r="C377" s="206"/>
      <c r="D377" s="208"/>
      <c r="E377" s="207"/>
      <c r="F377" s="207"/>
      <c r="G377" s="207"/>
      <c r="H377" s="207"/>
      <c r="I377" s="207"/>
      <c r="J377" s="34"/>
      <c r="K377" s="220"/>
    </row>
    <row r="378" spans="1:11" x14ac:dyDescent="0.25">
      <c r="A378" s="224"/>
      <c r="B378" s="224"/>
      <c r="C378" s="203"/>
      <c r="D378" s="204"/>
      <c r="E378" s="204"/>
      <c r="F378" s="204"/>
      <c r="G378" s="204"/>
      <c r="H378" s="204" t="s">
        <v>154</v>
      </c>
      <c r="I378" s="204"/>
      <c r="J378" s="34">
        <f>H360+J369+J376</f>
        <v>20375.271283825034</v>
      </c>
      <c r="K378" s="220" t="s">
        <v>46</v>
      </c>
    </row>
    <row r="379" spans="1:11" ht="15" customHeight="1" x14ac:dyDescent="0.25">
      <c r="A379" s="224"/>
      <c r="B379" s="224"/>
      <c r="C379" s="203"/>
      <c r="D379" s="204"/>
      <c r="E379" s="204"/>
      <c r="F379" s="204"/>
      <c r="G379" s="204"/>
      <c r="H379" s="204"/>
      <c r="I379" s="204"/>
      <c r="J379" s="34"/>
      <c r="K379" s="220"/>
    </row>
    <row r="380" spans="1:11" x14ac:dyDescent="0.25">
      <c r="A380" s="224"/>
      <c r="B380" s="224"/>
      <c r="C380" s="37"/>
      <c r="D380" s="208"/>
      <c r="E380" s="207"/>
      <c r="F380" s="208"/>
      <c r="G380" s="208"/>
      <c r="H380" s="208"/>
      <c r="I380" s="208"/>
      <c r="J380" s="34"/>
      <c r="K380" s="220"/>
    </row>
    <row r="381" spans="1:11" ht="24" customHeight="1" x14ac:dyDescent="0.25">
      <c r="A381" s="224"/>
      <c r="B381" s="224"/>
      <c r="C381" s="37"/>
      <c r="D381" s="208"/>
      <c r="E381" s="207"/>
      <c r="F381" s="208"/>
      <c r="H381" s="2" t="s">
        <v>154</v>
      </c>
      <c r="J381" s="4">
        <f>J352+J378</f>
        <v>37991.921283825039</v>
      </c>
      <c r="K381" s="2" t="s">
        <v>46</v>
      </c>
    </row>
    <row r="382" spans="1:11" x14ac:dyDescent="0.25">
      <c r="A382" s="224"/>
      <c r="B382" s="224"/>
      <c r="C382" s="16"/>
      <c r="D382" s="17"/>
      <c r="E382" s="210"/>
      <c r="F382" s="17"/>
      <c r="G382" s="17"/>
      <c r="H382" s="17"/>
      <c r="I382" s="17"/>
      <c r="J382" s="111"/>
      <c r="K382" s="221"/>
    </row>
    <row r="383" spans="1:11" ht="15" customHeight="1" x14ac:dyDescent="0.25">
      <c r="A383" s="369" t="s">
        <v>199</v>
      </c>
      <c r="B383" s="387" t="s">
        <v>90</v>
      </c>
      <c r="C383" s="37"/>
      <c r="D383" s="208"/>
      <c r="E383" s="207"/>
      <c r="F383" s="208"/>
      <c r="G383" s="208"/>
      <c r="H383" s="208"/>
      <c r="I383" s="208"/>
      <c r="J383" s="112"/>
      <c r="K383" s="220"/>
    </row>
    <row r="384" spans="1:11" ht="15" customHeight="1" x14ac:dyDescent="0.25">
      <c r="A384" s="361"/>
      <c r="B384" s="388"/>
      <c r="C384" s="318" t="s">
        <v>286</v>
      </c>
      <c r="D384" s="319"/>
      <c r="E384" s="319"/>
      <c r="F384" s="319"/>
      <c r="G384" s="319"/>
      <c r="H384" s="319"/>
      <c r="I384" s="320"/>
      <c r="J384" s="112"/>
      <c r="K384" s="220"/>
    </row>
    <row r="385" spans="1:11" x14ac:dyDescent="0.25">
      <c r="A385" s="361"/>
      <c r="B385" s="388"/>
      <c r="C385" s="37"/>
      <c r="D385" s="186"/>
      <c r="E385" s="161" t="s">
        <v>154</v>
      </c>
      <c r="F385" s="186"/>
      <c r="G385" s="186"/>
      <c r="H385" s="186"/>
      <c r="I385" s="186"/>
      <c r="J385" s="112">
        <v>3624</v>
      </c>
      <c r="K385" s="220" t="s">
        <v>3</v>
      </c>
    </row>
    <row r="386" spans="1:11" x14ac:dyDescent="0.25">
      <c r="A386" s="361"/>
      <c r="B386" s="388"/>
      <c r="C386" s="37"/>
      <c r="D386" s="186"/>
      <c r="E386" s="161"/>
      <c r="F386" s="186"/>
      <c r="G386" s="186"/>
      <c r="H386" s="186"/>
      <c r="I386" s="186"/>
      <c r="J386" s="112"/>
      <c r="K386" s="220"/>
    </row>
    <row r="387" spans="1:11" x14ac:dyDescent="0.25">
      <c r="A387" s="361"/>
      <c r="B387" s="388"/>
      <c r="C387" s="318" t="s">
        <v>287</v>
      </c>
      <c r="D387" s="319"/>
      <c r="E387" s="319"/>
      <c r="F387" s="319"/>
      <c r="G387" s="319"/>
      <c r="H387" s="319"/>
      <c r="I387" s="320"/>
      <c r="J387" s="112"/>
      <c r="K387" s="220"/>
    </row>
    <row r="388" spans="1:11" x14ac:dyDescent="0.25">
      <c r="A388" s="361"/>
      <c r="B388" s="388"/>
      <c r="C388" s="37"/>
      <c r="D388" s="186"/>
      <c r="E388" s="161" t="s">
        <v>154</v>
      </c>
      <c r="F388" s="186"/>
      <c r="G388" s="186"/>
      <c r="H388" s="186"/>
      <c r="I388" s="186"/>
      <c r="J388" s="112">
        <v>5436</v>
      </c>
      <c r="K388" s="220" t="s">
        <v>3</v>
      </c>
    </row>
    <row r="389" spans="1:11" ht="166.5" customHeight="1" x14ac:dyDescent="0.25">
      <c r="A389" s="361"/>
      <c r="B389" s="388"/>
      <c r="C389" s="37"/>
      <c r="D389" s="186"/>
      <c r="E389" s="161"/>
      <c r="F389" s="186"/>
      <c r="G389" s="186"/>
      <c r="H389" s="186"/>
      <c r="I389" s="186"/>
      <c r="J389" s="112"/>
      <c r="K389" s="220"/>
    </row>
    <row r="390" spans="1:11" ht="19.5" customHeight="1" x14ac:dyDescent="0.25">
      <c r="A390" s="243"/>
      <c r="B390" s="244"/>
      <c r="C390" s="37"/>
      <c r="D390" s="186"/>
      <c r="E390" s="311" t="s">
        <v>154</v>
      </c>
      <c r="F390" s="311"/>
      <c r="G390" s="311"/>
      <c r="H390" s="311"/>
      <c r="I390" s="311"/>
      <c r="J390" s="112">
        <f>SUM(J385:J389)</f>
        <v>9060</v>
      </c>
      <c r="K390" s="220" t="s">
        <v>3</v>
      </c>
    </row>
    <row r="391" spans="1:11" x14ac:dyDescent="0.25">
      <c r="A391" s="224"/>
      <c r="B391" s="224"/>
      <c r="C391" s="37"/>
      <c r="D391" s="186"/>
      <c r="E391" s="161"/>
      <c r="F391" s="186"/>
      <c r="G391" s="186"/>
      <c r="H391" s="186"/>
      <c r="I391" s="186"/>
      <c r="J391" s="112"/>
      <c r="K391" s="220"/>
    </row>
    <row r="392" spans="1:11" x14ac:dyDescent="0.25">
      <c r="A392" s="224"/>
      <c r="B392" s="224"/>
      <c r="C392" s="16"/>
      <c r="D392" s="17"/>
      <c r="E392" s="162"/>
      <c r="F392" s="17"/>
      <c r="G392" s="17"/>
      <c r="H392" s="17"/>
      <c r="I392" s="17"/>
      <c r="J392" s="113"/>
      <c r="K392" s="221"/>
    </row>
    <row r="393" spans="1:11" ht="15" customHeight="1" x14ac:dyDescent="0.25">
      <c r="A393" s="403" t="s">
        <v>295</v>
      </c>
      <c r="B393" s="385" t="s">
        <v>296</v>
      </c>
      <c r="C393" s="277"/>
      <c r="D393" s="278"/>
      <c r="E393" s="279"/>
      <c r="F393" s="278"/>
      <c r="G393" s="278"/>
      <c r="H393" s="278"/>
      <c r="I393" s="278"/>
      <c r="J393" s="280"/>
      <c r="K393" s="281"/>
    </row>
    <row r="394" spans="1:11" x14ac:dyDescent="0.25">
      <c r="A394" s="404"/>
      <c r="B394" s="357"/>
      <c r="C394" s="351" t="s">
        <v>286</v>
      </c>
      <c r="D394" s="352"/>
      <c r="E394" s="352"/>
      <c r="F394" s="352"/>
      <c r="G394" s="352"/>
      <c r="H394" s="352"/>
      <c r="I394" s="353"/>
      <c r="J394" s="280"/>
      <c r="K394" s="281"/>
    </row>
    <row r="395" spans="1:11" x14ac:dyDescent="0.25">
      <c r="A395" s="404"/>
      <c r="B395" s="357"/>
      <c r="C395" s="277"/>
      <c r="D395" s="278"/>
      <c r="E395" s="279" t="s">
        <v>154</v>
      </c>
      <c r="F395" s="278"/>
      <c r="G395" s="278"/>
      <c r="H395" s="278"/>
      <c r="I395" s="278"/>
      <c r="J395" s="280">
        <v>16400</v>
      </c>
      <c r="K395" s="281" t="s">
        <v>3</v>
      </c>
    </row>
    <row r="396" spans="1:11" x14ac:dyDescent="0.25">
      <c r="A396" s="404"/>
      <c r="B396" s="357"/>
      <c r="C396" s="351" t="s">
        <v>311</v>
      </c>
      <c r="D396" s="352"/>
      <c r="E396" s="352"/>
      <c r="F396" s="352"/>
      <c r="G396" s="352"/>
      <c r="H396" s="352"/>
      <c r="I396" s="353"/>
      <c r="J396" s="280"/>
      <c r="K396" s="281"/>
    </row>
    <row r="397" spans="1:11" x14ac:dyDescent="0.25">
      <c r="A397" s="404"/>
      <c r="B397" s="357"/>
      <c r="C397" s="282"/>
      <c r="D397" s="283"/>
      <c r="E397" s="283" t="s">
        <v>154</v>
      </c>
      <c r="F397" s="283"/>
      <c r="G397" s="283"/>
      <c r="H397" s="283"/>
      <c r="I397" s="284"/>
      <c r="J397" s="280">
        <v>54600</v>
      </c>
      <c r="K397" s="281" t="s">
        <v>3</v>
      </c>
    </row>
    <row r="398" spans="1:11" x14ac:dyDescent="0.25">
      <c r="A398" s="404"/>
      <c r="B398" s="357"/>
      <c r="C398" s="277"/>
      <c r="D398" s="278"/>
      <c r="E398" s="279"/>
      <c r="F398" s="278"/>
      <c r="G398" s="278"/>
      <c r="H398" s="278"/>
      <c r="I398" s="278"/>
      <c r="J398" s="280"/>
      <c r="K398" s="281"/>
    </row>
    <row r="399" spans="1:11" ht="179.25" customHeight="1" x14ac:dyDescent="0.25">
      <c r="A399" s="404"/>
      <c r="B399" s="357"/>
      <c r="C399" s="277"/>
      <c r="D399" s="278"/>
      <c r="E399" s="279"/>
      <c r="F399" s="278"/>
      <c r="G399" s="278"/>
      <c r="H399" s="278"/>
      <c r="I399" s="278"/>
      <c r="J399" s="280"/>
      <c r="K399" s="281"/>
    </row>
    <row r="400" spans="1:11" ht="15" customHeight="1" x14ac:dyDescent="0.25">
      <c r="A400" s="285" t="s">
        <v>254</v>
      </c>
      <c r="B400" s="257" t="s">
        <v>253</v>
      </c>
      <c r="C400" s="277"/>
      <c r="D400" s="278"/>
      <c r="E400" s="405" t="s">
        <v>154</v>
      </c>
      <c r="F400" s="405"/>
      <c r="G400" s="405"/>
      <c r="H400" s="405"/>
      <c r="I400" s="405"/>
      <c r="J400" s="280">
        <f>SUM(J395:J399)</f>
        <v>71000</v>
      </c>
      <c r="K400" s="281" t="s">
        <v>3</v>
      </c>
    </row>
    <row r="401" spans="1:11" x14ac:dyDescent="0.25">
      <c r="A401" s="236"/>
      <c r="B401" s="236"/>
      <c r="C401" s="16"/>
      <c r="D401" s="17"/>
      <c r="E401" s="162"/>
      <c r="F401" s="17"/>
      <c r="G401" s="17"/>
      <c r="H401" s="17"/>
      <c r="I401" s="17"/>
      <c r="J401" s="113"/>
      <c r="K401" s="221"/>
    </row>
    <row r="402" spans="1:11" x14ac:dyDescent="0.25">
      <c r="A402" s="369" t="s">
        <v>291</v>
      </c>
      <c r="B402" s="385" t="s">
        <v>290</v>
      </c>
      <c r="C402" s="37"/>
      <c r="D402" s="186"/>
      <c r="E402" s="161"/>
      <c r="F402" s="186"/>
      <c r="G402" s="186"/>
      <c r="H402" s="186"/>
      <c r="I402" s="186"/>
      <c r="J402" s="112"/>
      <c r="K402" s="220"/>
    </row>
    <row r="403" spans="1:11" x14ac:dyDescent="0.25">
      <c r="A403" s="361"/>
      <c r="B403" s="357"/>
      <c r="C403" s="37"/>
      <c r="D403" s="186"/>
      <c r="E403" s="161"/>
      <c r="F403" s="186"/>
      <c r="G403" s="186"/>
      <c r="H403" s="186"/>
      <c r="I403" s="186"/>
      <c r="J403" s="112"/>
      <c r="K403" s="220"/>
    </row>
    <row r="404" spans="1:11" x14ac:dyDescent="0.25">
      <c r="A404" s="361"/>
      <c r="B404" s="357"/>
      <c r="C404" s="37"/>
      <c r="D404" s="186"/>
      <c r="E404" s="161"/>
      <c r="F404" s="186"/>
      <c r="G404" s="186"/>
      <c r="H404" s="186"/>
      <c r="I404" s="186"/>
      <c r="J404" s="112"/>
      <c r="K404" s="220"/>
    </row>
    <row r="405" spans="1:11" x14ac:dyDescent="0.25">
      <c r="A405" s="361"/>
      <c r="B405" s="357"/>
      <c r="C405" s="318" t="s">
        <v>286</v>
      </c>
      <c r="D405" s="319"/>
      <c r="E405" s="319"/>
      <c r="F405" s="319"/>
      <c r="G405" s="319"/>
      <c r="H405" s="319"/>
      <c r="I405" s="320"/>
      <c r="J405" s="112"/>
      <c r="K405" s="220"/>
    </row>
    <row r="406" spans="1:11" x14ac:dyDescent="0.25">
      <c r="A406" s="361"/>
      <c r="B406" s="357"/>
      <c r="C406" s="37"/>
      <c r="D406" s="186"/>
      <c r="E406" s="161" t="s">
        <v>154</v>
      </c>
      <c r="F406" s="186"/>
      <c r="G406" s="186"/>
      <c r="H406" s="186"/>
      <c r="I406" s="186"/>
      <c r="J406" s="112">
        <v>20053.3</v>
      </c>
      <c r="K406" s="220" t="s">
        <v>3</v>
      </c>
    </row>
    <row r="407" spans="1:11" x14ac:dyDescent="0.25">
      <c r="A407" s="361"/>
      <c r="B407" s="357"/>
      <c r="C407" s="318" t="s">
        <v>287</v>
      </c>
      <c r="D407" s="319"/>
      <c r="E407" s="319"/>
      <c r="F407" s="319"/>
      <c r="G407" s="319"/>
      <c r="H407" s="319"/>
      <c r="I407" s="320"/>
      <c r="J407" s="112"/>
      <c r="K407" s="220"/>
    </row>
    <row r="408" spans="1:11" ht="105.75" customHeight="1" x14ac:dyDescent="0.25">
      <c r="A408" s="361"/>
      <c r="B408" s="357"/>
      <c r="C408" s="196"/>
      <c r="D408" s="197"/>
      <c r="E408" s="34" t="s">
        <v>154</v>
      </c>
      <c r="F408" s="197"/>
      <c r="G408" s="197"/>
      <c r="H408" s="197"/>
      <c r="I408" s="198"/>
      <c r="J408" s="112">
        <v>19984.5</v>
      </c>
      <c r="K408" s="220" t="s">
        <v>3</v>
      </c>
    </row>
    <row r="409" spans="1:11" ht="24" x14ac:dyDescent="0.25">
      <c r="A409" s="245" t="s">
        <v>292</v>
      </c>
      <c r="B409" s="80" t="s">
        <v>95</v>
      </c>
      <c r="C409" s="37"/>
      <c r="D409" s="186"/>
      <c r="E409" s="200" t="s">
        <v>154</v>
      </c>
      <c r="F409" s="200"/>
      <c r="G409" s="200"/>
      <c r="H409" s="200"/>
      <c r="I409" s="201"/>
      <c r="J409" s="202">
        <f>SUM(J406:J408)</f>
        <v>40037.800000000003</v>
      </c>
      <c r="K409" s="247" t="s">
        <v>3</v>
      </c>
    </row>
    <row r="410" spans="1:11" ht="16.5" customHeight="1" x14ac:dyDescent="0.25">
      <c r="A410" s="245"/>
      <c r="B410" s="246"/>
      <c r="C410" s="389"/>
      <c r="D410" s="390"/>
      <c r="E410" s="390"/>
      <c r="F410" s="162"/>
      <c r="G410" s="162"/>
      <c r="H410" s="162"/>
      <c r="I410" s="199"/>
      <c r="J410" s="113"/>
      <c r="K410" s="221"/>
    </row>
    <row r="411" spans="1:11" x14ac:dyDescent="0.25">
      <c r="A411" s="369" t="s">
        <v>201</v>
      </c>
      <c r="B411" s="385" t="s">
        <v>97</v>
      </c>
      <c r="C411" s="37"/>
      <c r="D411" s="186"/>
      <c r="E411" s="161"/>
      <c r="F411" s="186"/>
      <c r="G411" s="186"/>
      <c r="H411" s="186"/>
      <c r="I411" s="186"/>
      <c r="J411" s="112"/>
      <c r="K411" s="220"/>
    </row>
    <row r="412" spans="1:11" x14ac:dyDescent="0.25">
      <c r="A412" s="361"/>
      <c r="B412" s="357"/>
      <c r="C412" s="37"/>
      <c r="D412" s="186"/>
      <c r="E412" s="161"/>
      <c r="F412" s="186"/>
      <c r="G412" s="186"/>
      <c r="H412" s="186"/>
      <c r="I412" s="186"/>
      <c r="J412" s="112"/>
      <c r="K412" s="220"/>
    </row>
    <row r="413" spans="1:11" x14ac:dyDescent="0.25">
      <c r="A413" s="361"/>
      <c r="B413" s="357"/>
      <c r="C413" s="37"/>
      <c r="D413" s="186"/>
      <c r="E413" s="161"/>
      <c r="F413" s="186"/>
      <c r="G413" s="186"/>
      <c r="H413" s="186"/>
      <c r="I413" s="186"/>
      <c r="J413" s="112"/>
      <c r="K413" s="220"/>
    </row>
    <row r="414" spans="1:11" x14ac:dyDescent="0.25">
      <c r="A414" s="361"/>
      <c r="B414" s="357"/>
      <c r="C414" s="37"/>
      <c r="D414" s="186"/>
      <c r="E414" s="161"/>
      <c r="F414" s="186"/>
      <c r="G414" s="186"/>
      <c r="H414" s="186"/>
      <c r="I414" s="186"/>
      <c r="J414" s="112"/>
      <c r="K414" s="220"/>
    </row>
    <row r="415" spans="1:11" x14ac:dyDescent="0.25">
      <c r="A415" s="361"/>
      <c r="B415" s="357"/>
      <c r="C415" s="37"/>
      <c r="D415" s="186"/>
      <c r="E415" s="161"/>
      <c r="F415" s="186"/>
      <c r="G415" s="186"/>
      <c r="H415" s="186"/>
      <c r="I415" s="186"/>
      <c r="J415" s="112"/>
      <c r="K415" s="220"/>
    </row>
    <row r="416" spans="1:11" x14ac:dyDescent="0.25">
      <c r="A416" s="361"/>
      <c r="B416" s="357"/>
      <c r="C416" s="37"/>
      <c r="D416" s="186"/>
      <c r="E416" s="161"/>
      <c r="F416" s="186"/>
      <c r="G416" s="186"/>
      <c r="H416" s="186"/>
      <c r="I416" s="186"/>
      <c r="J416" s="112"/>
      <c r="K416" s="220"/>
    </row>
    <row r="417" spans="1:11" ht="309" customHeight="1" x14ac:dyDescent="0.25">
      <c r="A417" s="361"/>
      <c r="B417" s="357"/>
      <c r="C417" s="37"/>
      <c r="D417" s="186"/>
      <c r="E417" s="161"/>
      <c r="F417" s="186"/>
      <c r="G417" s="186"/>
      <c r="H417" s="186"/>
      <c r="I417" s="186"/>
      <c r="J417" s="112"/>
      <c r="K417" s="220"/>
    </row>
    <row r="418" spans="1:11" ht="24" x14ac:dyDescent="0.25">
      <c r="A418" s="245" t="s">
        <v>215</v>
      </c>
      <c r="B418" s="80" t="s">
        <v>96</v>
      </c>
      <c r="C418" s="37"/>
      <c r="D418" s="186"/>
      <c r="E418" s="311"/>
      <c r="F418" s="311"/>
      <c r="G418" s="311"/>
      <c r="H418" s="311"/>
      <c r="I418" s="311"/>
      <c r="J418" s="112"/>
      <c r="K418" s="220"/>
    </row>
    <row r="419" spans="1:11" ht="36" customHeight="1" x14ac:dyDescent="0.25">
      <c r="A419" s="236"/>
      <c r="B419" s="236"/>
      <c r="C419" s="16"/>
      <c r="D419" s="17"/>
      <c r="E419" s="394" t="s">
        <v>98</v>
      </c>
      <c r="F419" s="394"/>
      <c r="G419" s="394"/>
      <c r="H419" s="394"/>
      <c r="I419" s="17"/>
      <c r="J419" s="116">
        <v>5</v>
      </c>
      <c r="K419" s="221" t="s">
        <v>18</v>
      </c>
    </row>
    <row r="420" spans="1:11" ht="17.25" customHeight="1" x14ac:dyDescent="0.25">
      <c r="A420" s="396" t="s">
        <v>294</v>
      </c>
      <c r="B420" s="366" t="s">
        <v>99</v>
      </c>
      <c r="C420" s="20"/>
      <c r="D420" s="19"/>
      <c r="E420" s="173"/>
      <c r="F420" s="19"/>
      <c r="G420" s="19"/>
      <c r="H420" s="19"/>
      <c r="I420" s="19"/>
      <c r="J420" s="117"/>
      <c r="K420" s="219"/>
    </row>
    <row r="421" spans="1:11" x14ac:dyDescent="0.25">
      <c r="A421" s="397"/>
      <c r="B421" s="367"/>
      <c r="C421" s="37"/>
      <c r="D421" s="186"/>
      <c r="E421" s="161"/>
      <c r="F421" s="186"/>
      <c r="G421" s="186"/>
      <c r="H421" s="186"/>
      <c r="I421" s="186"/>
      <c r="J421" s="34"/>
      <c r="K421" s="220"/>
    </row>
    <row r="422" spans="1:11" x14ac:dyDescent="0.25">
      <c r="A422" s="397"/>
      <c r="B422" s="367"/>
      <c r="C422" s="37" t="s">
        <v>47</v>
      </c>
      <c r="D422" s="186"/>
      <c r="E422" s="161"/>
      <c r="F422" s="186"/>
      <c r="G422" s="186"/>
      <c r="H422" s="186"/>
      <c r="I422" s="186"/>
      <c r="J422" s="34"/>
      <c r="K422" s="220"/>
    </row>
    <row r="423" spans="1:11" x14ac:dyDescent="0.25">
      <c r="A423" s="397"/>
      <c r="B423" s="367"/>
      <c r="C423" s="2">
        <v>2</v>
      </c>
      <c r="D423" s="186"/>
      <c r="E423" s="161">
        <v>2500</v>
      </c>
      <c r="F423" s="186"/>
      <c r="G423" s="186"/>
      <c r="H423" s="159">
        <v>100</v>
      </c>
      <c r="I423" s="186" t="s">
        <v>21</v>
      </c>
      <c r="J423" s="34">
        <f>C423*E423*H423</f>
        <v>500000</v>
      </c>
      <c r="K423" s="220" t="s">
        <v>46</v>
      </c>
    </row>
    <row r="424" spans="1:11" x14ac:dyDescent="0.25">
      <c r="A424" s="398"/>
      <c r="B424" s="395"/>
      <c r="C424" s="16"/>
      <c r="D424" s="17"/>
      <c r="E424" s="162"/>
      <c r="F424" s="17"/>
      <c r="G424" s="17"/>
      <c r="H424" s="17"/>
      <c r="I424" s="17"/>
      <c r="J424" s="111"/>
      <c r="K424" s="221"/>
    </row>
    <row r="425" spans="1:11" ht="15" customHeight="1" x14ac:dyDescent="0.25">
      <c r="A425" s="396" t="s">
        <v>204</v>
      </c>
      <c r="B425" s="366" t="s">
        <v>171</v>
      </c>
      <c r="C425" s="20"/>
      <c r="D425" s="19"/>
      <c r="E425" s="173"/>
      <c r="F425" s="19"/>
      <c r="G425" s="19"/>
      <c r="H425" s="19"/>
      <c r="I425" s="19"/>
      <c r="J425" s="117"/>
      <c r="K425" s="219"/>
    </row>
    <row r="426" spans="1:11" x14ac:dyDescent="0.25">
      <c r="A426" s="397"/>
      <c r="B426" s="367"/>
      <c r="C426" s="37"/>
      <c r="D426" s="186"/>
      <c r="E426" s="314" t="s">
        <v>288</v>
      </c>
      <c r="F426" s="314"/>
      <c r="G426" s="314"/>
      <c r="H426" s="314"/>
      <c r="I426" s="186"/>
      <c r="J426" s="34">
        <v>25</v>
      </c>
      <c r="K426" s="220" t="s">
        <v>230</v>
      </c>
    </row>
    <row r="427" spans="1:11" ht="9.75" customHeight="1" x14ac:dyDescent="0.25">
      <c r="A427" s="397"/>
      <c r="B427" s="367"/>
      <c r="C427" s="37"/>
      <c r="D427" s="186"/>
      <c r="E427" s="161"/>
      <c r="F427" s="186"/>
      <c r="G427" s="186"/>
      <c r="H427" s="186"/>
      <c r="I427" s="186"/>
      <c r="J427" s="34"/>
      <c r="K427" s="220"/>
    </row>
    <row r="428" spans="1:11" x14ac:dyDescent="0.25">
      <c r="A428" s="217" t="s">
        <v>172</v>
      </c>
      <c r="B428" s="213" t="s">
        <v>173</v>
      </c>
      <c r="C428" s="37"/>
      <c r="D428" s="186"/>
      <c r="E428" s="161"/>
      <c r="F428" s="186"/>
      <c r="G428" s="186"/>
      <c r="H428" s="159"/>
      <c r="I428" s="186"/>
      <c r="J428" s="34"/>
      <c r="K428" s="220"/>
    </row>
    <row r="429" spans="1:11" x14ac:dyDescent="0.25">
      <c r="A429" s="396" t="s">
        <v>205</v>
      </c>
      <c r="B429" s="366" t="s">
        <v>174</v>
      </c>
      <c r="C429" s="20"/>
      <c r="D429" s="19"/>
      <c r="E429" s="173"/>
      <c r="F429" s="19"/>
      <c r="G429" s="19"/>
      <c r="H429" s="19"/>
      <c r="I429" s="19"/>
      <c r="J429" s="117"/>
      <c r="K429" s="219"/>
    </row>
    <row r="430" spans="1:11" x14ac:dyDescent="0.25">
      <c r="A430" s="397"/>
      <c r="B430" s="367"/>
      <c r="C430" s="37"/>
      <c r="D430" s="186"/>
      <c r="E430" s="311" t="s">
        <v>289</v>
      </c>
      <c r="F430" s="311"/>
      <c r="G430" s="34"/>
      <c r="H430" s="34" t="s">
        <v>230</v>
      </c>
      <c r="I430" s="186"/>
      <c r="J430" s="34">
        <v>25</v>
      </c>
      <c r="K430" s="220" t="s">
        <v>247</v>
      </c>
    </row>
    <row r="431" spans="1:11" ht="36" customHeight="1" x14ac:dyDescent="0.25">
      <c r="A431" s="397"/>
      <c r="B431" s="367"/>
      <c r="C431" s="37"/>
      <c r="D431" s="186"/>
      <c r="E431" s="161"/>
      <c r="F431" s="186"/>
      <c r="G431" s="186"/>
      <c r="H431" s="186"/>
      <c r="I431" s="186"/>
      <c r="J431" s="34"/>
      <c r="K431" s="220"/>
    </row>
    <row r="432" spans="1:11" x14ac:dyDescent="0.25">
      <c r="A432" s="401" t="s">
        <v>206</v>
      </c>
      <c r="B432" s="399" t="s">
        <v>250</v>
      </c>
      <c r="C432" s="37"/>
      <c r="D432" s="186"/>
      <c r="E432" s="161"/>
      <c r="F432" s="186"/>
      <c r="G432" s="186"/>
      <c r="H432" s="186"/>
      <c r="I432" s="186"/>
      <c r="J432" s="34"/>
      <c r="K432" s="220"/>
    </row>
    <row r="433" spans="1:11" ht="20.25" customHeight="1" x14ac:dyDescent="0.25">
      <c r="A433" s="402"/>
      <c r="B433" s="400"/>
      <c r="C433" s="37"/>
      <c r="D433" s="186"/>
      <c r="E433" s="161"/>
      <c r="F433" s="186"/>
      <c r="G433" s="186"/>
      <c r="H433" s="186"/>
      <c r="I433" s="186"/>
      <c r="J433" s="34"/>
      <c r="K433" s="220"/>
    </row>
    <row r="434" spans="1:11" x14ac:dyDescent="0.25">
      <c r="A434" s="402"/>
      <c r="B434" s="400"/>
      <c r="C434" s="37"/>
      <c r="D434" s="186"/>
      <c r="E434" s="161"/>
      <c r="F434" s="186"/>
      <c r="G434" s="186"/>
      <c r="H434" s="186"/>
      <c r="I434" s="186"/>
      <c r="J434" s="34"/>
      <c r="K434" s="220"/>
    </row>
    <row r="435" spans="1:11" x14ac:dyDescent="0.25">
      <c r="A435" s="402"/>
      <c r="B435" s="400"/>
      <c r="C435" s="37"/>
      <c r="D435" s="186"/>
      <c r="E435" s="161"/>
      <c r="F435" s="186"/>
      <c r="G435" s="186"/>
      <c r="H435" s="186"/>
      <c r="I435" s="186"/>
      <c r="J435" s="34"/>
      <c r="K435" s="220"/>
    </row>
    <row r="436" spans="1:11" x14ac:dyDescent="0.25">
      <c r="A436" s="402"/>
      <c r="B436" s="400"/>
      <c r="C436" s="37"/>
      <c r="D436" s="186"/>
      <c r="E436" s="161"/>
      <c r="F436" s="186"/>
      <c r="G436" s="186"/>
      <c r="H436" s="186"/>
      <c r="I436" s="186"/>
      <c r="J436" s="34"/>
      <c r="K436" s="220"/>
    </row>
    <row r="437" spans="1:11" x14ac:dyDescent="0.25">
      <c r="A437" s="402"/>
      <c r="B437" s="400"/>
      <c r="C437" s="37"/>
      <c r="D437" s="186"/>
      <c r="E437" s="161"/>
      <c r="F437" s="186"/>
      <c r="G437" s="186"/>
      <c r="H437" s="186"/>
      <c r="I437" s="186"/>
      <c r="J437" s="34"/>
      <c r="K437" s="220"/>
    </row>
    <row r="438" spans="1:11" ht="118.5" customHeight="1" x14ac:dyDescent="0.25">
      <c r="A438" s="402"/>
      <c r="B438" s="400"/>
      <c r="C438" s="37"/>
      <c r="D438" s="186"/>
      <c r="E438" s="161"/>
      <c r="F438" s="186"/>
      <c r="G438" s="186"/>
      <c r="H438" s="186"/>
      <c r="I438" s="186"/>
      <c r="J438" s="34"/>
      <c r="K438" s="220"/>
    </row>
    <row r="439" spans="1:11" ht="16.5" customHeight="1" x14ac:dyDescent="0.25">
      <c r="A439" s="214" t="s">
        <v>165</v>
      </c>
      <c r="B439" s="215" t="s">
        <v>100</v>
      </c>
      <c r="C439" s="37"/>
      <c r="D439" s="186"/>
      <c r="E439" s="161"/>
      <c r="F439" s="186"/>
      <c r="G439" s="186"/>
      <c r="H439" s="186"/>
      <c r="I439" s="186"/>
      <c r="J439" s="34"/>
      <c r="K439" s="220"/>
    </row>
    <row r="440" spans="1:11" ht="16.5" customHeight="1" x14ac:dyDescent="0.25">
      <c r="A440" s="248"/>
      <c r="B440" s="249"/>
      <c r="C440" s="37" t="s">
        <v>101</v>
      </c>
      <c r="D440" s="186"/>
      <c r="E440" s="161"/>
      <c r="F440" s="186"/>
      <c r="G440" s="186"/>
      <c r="H440" s="186"/>
      <c r="I440" s="186"/>
      <c r="J440" s="34"/>
      <c r="K440" s="220"/>
    </row>
    <row r="441" spans="1:11" ht="16.5" customHeight="1" x14ac:dyDescent="0.25">
      <c r="A441" s="248"/>
      <c r="B441" s="249"/>
      <c r="C441" s="313" t="s">
        <v>102</v>
      </c>
      <c r="D441" s="314"/>
      <c r="E441" s="314"/>
      <c r="F441" s="314"/>
      <c r="G441" s="314"/>
      <c r="H441" s="186"/>
      <c r="I441" s="186"/>
      <c r="J441" s="34"/>
      <c r="K441" s="220"/>
    </row>
    <row r="442" spans="1:11" ht="16.5" customHeight="1" x14ac:dyDescent="0.25">
      <c r="A442" s="248"/>
      <c r="B442" s="249"/>
      <c r="C442" s="37">
        <v>4</v>
      </c>
      <c r="D442" s="186"/>
      <c r="E442" s="161">
        <v>0.9</v>
      </c>
      <c r="F442" s="186">
        <v>4.8</v>
      </c>
      <c r="G442" s="186"/>
      <c r="H442" s="186">
        <v>0.25</v>
      </c>
      <c r="I442" s="186" t="s">
        <v>21</v>
      </c>
      <c r="J442" s="34">
        <f>C442*E442*F442*H442</f>
        <v>4.32</v>
      </c>
      <c r="K442" s="220"/>
    </row>
    <row r="443" spans="1:11" ht="16.5" customHeight="1" x14ac:dyDescent="0.25">
      <c r="A443" s="248"/>
      <c r="B443" s="249"/>
      <c r="C443" s="37" t="s">
        <v>103</v>
      </c>
      <c r="D443" s="186"/>
      <c r="E443" s="161"/>
      <c r="F443" s="186"/>
      <c r="G443" s="186"/>
      <c r="H443" s="186"/>
      <c r="I443" s="186"/>
      <c r="J443" s="34"/>
      <c r="K443" s="220"/>
    </row>
    <row r="444" spans="1:11" ht="16.5" customHeight="1" x14ac:dyDescent="0.25">
      <c r="A444" s="248"/>
      <c r="B444" s="249"/>
      <c r="C444" s="37" t="s">
        <v>86</v>
      </c>
      <c r="D444" s="186"/>
      <c r="E444" s="161"/>
      <c r="F444" s="186"/>
      <c r="G444" s="186"/>
      <c r="H444" s="186"/>
      <c r="I444" s="186"/>
      <c r="J444" s="34"/>
      <c r="K444" s="220"/>
    </row>
    <row r="445" spans="1:11" ht="16.5" customHeight="1" x14ac:dyDescent="0.25">
      <c r="A445" s="248"/>
      <c r="B445" s="249"/>
      <c r="C445" s="37"/>
      <c r="D445" s="186"/>
      <c r="E445" s="161">
        <v>4.8</v>
      </c>
      <c r="F445" s="186">
        <v>2.5</v>
      </c>
      <c r="G445" s="186"/>
      <c r="H445" s="186">
        <v>0.25</v>
      </c>
      <c r="I445" s="186" t="s">
        <v>21</v>
      </c>
      <c r="J445" s="34">
        <f>E445*F445*H445</f>
        <v>3</v>
      </c>
      <c r="K445" s="220"/>
    </row>
    <row r="446" spans="1:11" ht="16.5" customHeight="1" x14ac:dyDescent="0.25">
      <c r="A446" s="248"/>
      <c r="B446" s="249"/>
      <c r="C446" s="37" t="s">
        <v>104</v>
      </c>
      <c r="D446" s="186"/>
      <c r="E446" s="161"/>
      <c r="F446" s="186"/>
      <c r="G446" s="186"/>
      <c r="H446" s="186"/>
      <c r="I446" s="186"/>
      <c r="J446" s="34"/>
      <c r="K446" s="220"/>
    </row>
    <row r="447" spans="1:11" ht="16.5" customHeight="1" x14ac:dyDescent="0.25">
      <c r="A447" s="248"/>
      <c r="B447" s="249"/>
      <c r="C447" s="37"/>
      <c r="D447" s="186"/>
      <c r="E447" s="161">
        <v>4.8</v>
      </c>
      <c r="F447" s="186">
        <v>2</v>
      </c>
      <c r="G447" s="186"/>
      <c r="H447" s="186">
        <v>0.25</v>
      </c>
      <c r="I447" s="186" t="s">
        <v>21</v>
      </c>
      <c r="J447" s="34">
        <f>E447*F447*H447</f>
        <v>2.4</v>
      </c>
      <c r="K447" s="220"/>
    </row>
    <row r="448" spans="1:11" ht="16.5" customHeight="1" x14ac:dyDescent="0.25">
      <c r="A448" s="248"/>
      <c r="B448" s="249"/>
      <c r="C448" s="37" t="s">
        <v>105</v>
      </c>
      <c r="D448" s="186"/>
      <c r="E448" s="161"/>
      <c r="F448" s="186"/>
      <c r="G448" s="186"/>
      <c r="H448" s="186"/>
      <c r="I448" s="186"/>
      <c r="J448" s="34"/>
      <c r="K448" s="220"/>
    </row>
    <row r="449" spans="1:11" ht="16.5" customHeight="1" x14ac:dyDescent="0.25">
      <c r="A449" s="248"/>
      <c r="B449" s="249"/>
      <c r="C449" s="37"/>
      <c r="D449" s="186"/>
      <c r="E449" s="161">
        <v>10.5</v>
      </c>
      <c r="F449" s="186">
        <v>3.6</v>
      </c>
      <c r="G449" s="186"/>
      <c r="H449" s="186">
        <v>0.2</v>
      </c>
      <c r="I449" s="186" t="s">
        <v>21</v>
      </c>
      <c r="J449" s="34">
        <f>E449*F449*H449</f>
        <v>7.5600000000000014</v>
      </c>
      <c r="K449" s="220"/>
    </row>
    <row r="450" spans="1:11" ht="16.5" customHeight="1" x14ac:dyDescent="0.25">
      <c r="A450" s="248"/>
      <c r="B450" s="249"/>
      <c r="C450" s="37" t="s">
        <v>106</v>
      </c>
      <c r="D450" s="186"/>
      <c r="E450" s="161"/>
      <c r="F450" s="186"/>
      <c r="G450" s="186"/>
      <c r="H450" s="186"/>
      <c r="I450" s="186"/>
      <c r="J450" s="34"/>
      <c r="K450" s="220"/>
    </row>
    <row r="451" spans="1:11" ht="16.5" customHeight="1" x14ac:dyDescent="0.25">
      <c r="A451" s="248"/>
      <c r="B451" s="249"/>
      <c r="C451" s="37"/>
      <c r="D451" s="186"/>
      <c r="E451" s="185">
        <v>35</v>
      </c>
      <c r="F451" s="186">
        <v>0.3</v>
      </c>
      <c r="G451" s="186"/>
      <c r="H451" s="118">
        <v>0.15</v>
      </c>
      <c r="I451" s="186" t="s">
        <v>21</v>
      </c>
      <c r="J451" s="34">
        <f>(E451*F451*H451)/2</f>
        <v>0.78749999999999998</v>
      </c>
      <c r="K451" s="220"/>
    </row>
    <row r="452" spans="1:11" ht="16.5" customHeight="1" x14ac:dyDescent="0.25">
      <c r="A452" s="248"/>
      <c r="B452" s="249"/>
      <c r="C452" s="37"/>
      <c r="D452" s="186"/>
      <c r="E452" s="161"/>
      <c r="F452" s="186"/>
      <c r="G452" s="186"/>
      <c r="H452" s="183">
        <v>2</v>
      </c>
      <c r="I452" s="186"/>
      <c r="J452" s="34"/>
      <c r="K452" s="220"/>
    </row>
    <row r="453" spans="1:11" ht="16.5" customHeight="1" x14ac:dyDescent="0.25">
      <c r="A453" s="248"/>
      <c r="B453" s="249"/>
      <c r="C453" s="313" t="s">
        <v>107</v>
      </c>
      <c r="D453" s="314"/>
      <c r="E453" s="314"/>
      <c r="F453" s="314"/>
      <c r="G453" s="314"/>
      <c r="H453" s="186"/>
      <c r="I453" s="186"/>
      <c r="J453" s="34"/>
      <c r="K453" s="220"/>
    </row>
    <row r="454" spans="1:11" ht="16.5" customHeight="1" x14ac:dyDescent="0.25">
      <c r="A454" s="248"/>
      <c r="B454" s="249"/>
      <c r="C454" s="75">
        <v>2</v>
      </c>
      <c r="D454" s="186"/>
      <c r="E454" s="161">
        <v>10.5</v>
      </c>
      <c r="F454" s="186">
        <v>0.27500000000000002</v>
      </c>
      <c r="G454" s="186"/>
      <c r="H454" s="186">
        <v>0.2</v>
      </c>
      <c r="I454" s="186" t="s">
        <v>21</v>
      </c>
      <c r="J454" s="34">
        <f>C454*E454*F454*H454</f>
        <v>1.155</v>
      </c>
      <c r="K454" s="220"/>
    </row>
    <row r="455" spans="1:11" ht="16.5" customHeight="1" x14ac:dyDescent="0.25">
      <c r="A455" s="248"/>
      <c r="B455" s="249"/>
      <c r="C455" s="313" t="s">
        <v>108</v>
      </c>
      <c r="D455" s="314"/>
      <c r="E455" s="314"/>
      <c r="F455" s="314"/>
      <c r="G455" s="314"/>
      <c r="H455" s="186"/>
      <c r="I455" s="186"/>
      <c r="J455" s="34"/>
      <c r="K455" s="220"/>
    </row>
    <row r="456" spans="1:11" ht="16.5" customHeight="1" x14ac:dyDescent="0.25">
      <c r="A456" s="248"/>
      <c r="B456" s="249"/>
      <c r="C456" s="75">
        <v>2</v>
      </c>
      <c r="D456" s="186"/>
      <c r="E456" s="161">
        <v>4.8</v>
      </c>
      <c r="F456" s="186">
        <v>0.4</v>
      </c>
      <c r="G456" s="186"/>
      <c r="H456" s="186">
        <v>0.25</v>
      </c>
      <c r="I456" s="186" t="s">
        <v>21</v>
      </c>
      <c r="J456" s="34">
        <f>C456*E456*F456*H456</f>
        <v>0.96</v>
      </c>
      <c r="K456" s="220"/>
    </row>
    <row r="457" spans="1:11" ht="16.5" customHeight="1" x14ac:dyDescent="0.25">
      <c r="A457" s="248"/>
      <c r="B457" s="249"/>
      <c r="C457" s="313" t="s">
        <v>109</v>
      </c>
      <c r="D457" s="314"/>
      <c r="E457" s="314"/>
      <c r="F457" s="314"/>
      <c r="G457" s="314"/>
      <c r="H457" s="186"/>
      <c r="I457" s="186"/>
      <c r="J457" s="34"/>
      <c r="K457" s="220"/>
    </row>
    <row r="458" spans="1:11" ht="16.5" customHeight="1" x14ac:dyDescent="0.25">
      <c r="A458" s="248"/>
      <c r="B458" s="249"/>
      <c r="C458" s="75">
        <v>2</v>
      </c>
      <c r="D458" s="186"/>
      <c r="E458" s="161">
        <v>4.8</v>
      </c>
      <c r="F458" s="186">
        <v>0.6</v>
      </c>
      <c r="G458" s="186"/>
      <c r="H458" s="186">
        <v>0.1</v>
      </c>
      <c r="I458" s="186" t="s">
        <v>21</v>
      </c>
      <c r="J458" s="34">
        <f>C458*E458*F458*H458</f>
        <v>0.57599999999999996</v>
      </c>
      <c r="K458" s="220"/>
    </row>
    <row r="459" spans="1:11" ht="16.5" customHeight="1" x14ac:dyDescent="0.25">
      <c r="A459" s="248"/>
      <c r="B459" s="249"/>
      <c r="C459" s="313" t="s">
        <v>110</v>
      </c>
      <c r="D459" s="314"/>
      <c r="E459" s="314"/>
      <c r="F459" s="314"/>
      <c r="G459" s="314"/>
      <c r="H459" s="186"/>
      <c r="I459" s="186"/>
      <c r="J459" s="34"/>
      <c r="K459" s="220"/>
    </row>
    <row r="460" spans="1:11" ht="16.5" customHeight="1" x14ac:dyDescent="0.25">
      <c r="A460" s="248"/>
      <c r="B460" s="249"/>
      <c r="C460" s="75">
        <v>2</v>
      </c>
      <c r="D460" s="186"/>
      <c r="E460" s="161">
        <v>4.8</v>
      </c>
      <c r="F460" s="186">
        <v>0.45</v>
      </c>
      <c r="G460" s="186"/>
      <c r="H460" s="186">
        <v>0.22500000000000001</v>
      </c>
      <c r="I460" s="186" t="s">
        <v>21</v>
      </c>
      <c r="J460" s="34">
        <f>C460*E460*F460*H460</f>
        <v>0.97200000000000009</v>
      </c>
      <c r="K460" s="220"/>
    </row>
    <row r="461" spans="1:11" ht="16.5" customHeight="1" x14ac:dyDescent="0.25">
      <c r="A461" s="248"/>
      <c r="B461" s="249"/>
      <c r="C461" s="75"/>
      <c r="D461" s="186"/>
      <c r="E461" s="161"/>
      <c r="F461" s="186"/>
      <c r="G461" s="186"/>
      <c r="H461" s="186"/>
      <c r="I461" s="186"/>
      <c r="J461" s="34">
        <f>SUM(J442:J460)</f>
        <v>21.730500000000006</v>
      </c>
      <c r="K461" s="220"/>
    </row>
    <row r="462" spans="1:11" ht="16.5" customHeight="1" x14ac:dyDescent="0.25">
      <c r="A462" s="248"/>
      <c r="B462" s="249"/>
      <c r="C462" s="75"/>
      <c r="D462" s="186"/>
      <c r="E462" s="185">
        <v>4</v>
      </c>
      <c r="F462" s="315" t="s">
        <v>111</v>
      </c>
      <c r="G462" s="315"/>
      <c r="H462" s="186"/>
      <c r="I462" s="186" t="s">
        <v>21</v>
      </c>
      <c r="J462" s="34">
        <f>J461*E462</f>
        <v>86.922000000000025</v>
      </c>
      <c r="K462" s="220" t="s">
        <v>5</v>
      </c>
    </row>
    <row r="463" spans="1:11" ht="16.5" customHeight="1" x14ac:dyDescent="0.25">
      <c r="A463" s="248"/>
      <c r="B463" s="249"/>
      <c r="C463" s="347" t="s">
        <v>112</v>
      </c>
      <c r="D463" s="348"/>
      <c r="E463" s="348"/>
      <c r="F463" s="186"/>
      <c r="G463" s="186"/>
      <c r="H463" s="186"/>
      <c r="I463" s="186"/>
      <c r="J463" s="34"/>
      <c r="K463" s="220"/>
    </row>
    <row r="464" spans="1:11" ht="16.5" customHeight="1" x14ac:dyDescent="0.25">
      <c r="A464" s="248"/>
      <c r="B464" s="249"/>
      <c r="C464" s="75" t="s">
        <v>113</v>
      </c>
      <c r="D464" s="186"/>
      <c r="E464" s="161"/>
      <c r="F464" s="186"/>
      <c r="G464" s="186"/>
      <c r="H464" s="186"/>
      <c r="I464" s="186"/>
      <c r="J464" s="34"/>
      <c r="K464" s="220"/>
    </row>
    <row r="465" spans="1:13" ht="16.5" customHeight="1" x14ac:dyDescent="0.25">
      <c r="A465" s="248"/>
      <c r="B465" s="249"/>
      <c r="C465" s="37">
        <v>1.45</v>
      </c>
      <c r="D465" s="186"/>
      <c r="E465" s="161">
        <v>0.8</v>
      </c>
      <c r="F465" s="186">
        <v>0.3</v>
      </c>
      <c r="G465" s="186"/>
      <c r="H465" s="186">
        <v>0.3</v>
      </c>
      <c r="I465" s="186" t="s">
        <v>21</v>
      </c>
      <c r="J465" s="34">
        <f>C465*E465*F465*H465</f>
        <v>0.10439999999999999</v>
      </c>
      <c r="K465" s="220"/>
    </row>
    <row r="466" spans="1:13" ht="16.5" customHeight="1" x14ac:dyDescent="0.25">
      <c r="A466" s="248"/>
      <c r="B466" s="249"/>
      <c r="C466" s="347" t="s">
        <v>114</v>
      </c>
      <c r="D466" s="348"/>
      <c r="E466" s="348"/>
      <c r="F466" s="186"/>
      <c r="G466" s="186"/>
      <c r="H466" s="186"/>
      <c r="I466" s="186"/>
      <c r="J466" s="34"/>
      <c r="K466" s="220"/>
    </row>
    <row r="467" spans="1:13" ht="16.5" customHeight="1" x14ac:dyDescent="0.25">
      <c r="A467" s="248"/>
      <c r="B467" s="249"/>
      <c r="C467" s="75">
        <v>2</v>
      </c>
      <c r="D467" s="186"/>
      <c r="E467" s="161">
        <v>0.6</v>
      </c>
      <c r="F467" s="186">
        <v>0.25</v>
      </c>
      <c r="G467" s="186"/>
      <c r="H467" s="186">
        <v>0.25</v>
      </c>
      <c r="I467" s="186" t="s">
        <v>21</v>
      </c>
      <c r="J467" s="34">
        <f>C467*E467*F467*H467</f>
        <v>7.4999999999999997E-2</v>
      </c>
      <c r="K467" s="220"/>
    </row>
    <row r="468" spans="1:13" ht="16.5" customHeight="1" x14ac:dyDescent="0.25">
      <c r="A468" s="248"/>
      <c r="B468" s="249"/>
      <c r="C468" s="347" t="s">
        <v>115</v>
      </c>
      <c r="D468" s="348"/>
      <c r="E468" s="348"/>
      <c r="F468" s="186"/>
      <c r="G468" s="186"/>
      <c r="H468" s="186"/>
      <c r="I468" s="186"/>
      <c r="J468" s="34"/>
      <c r="K468" s="220"/>
    </row>
    <row r="469" spans="1:13" ht="16.5" customHeight="1" x14ac:dyDescent="0.25">
      <c r="A469" s="248"/>
      <c r="B469" s="249"/>
      <c r="C469" s="75">
        <v>2</v>
      </c>
      <c r="D469" s="186"/>
      <c r="E469" s="161">
        <v>1.25</v>
      </c>
      <c r="F469" s="186">
        <v>0.2</v>
      </c>
      <c r="G469" s="186"/>
      <c r="H469" s="186">
        <v>0.2</v>
      </c>
      <c r="I469" s="186" t="s">
        <v>21</v>
      </c>
      <c r="J469" s="34">
        <f>C469*E469*F469*H469</f>
        <v>0.1</v>
      </c>
      <c r="K469" s="220"/>
    </row>
    <row r="470" spans="1:13" ht="16.5" customHeight="1" x14ac:dyDescent="0.25">
      <c r="A470" s="248"/>
      <c r="B470" s="249"/>
      <c r="C470" s="347" t="s">
        <v>112</v>
      </c>
      <c r="D470" s="348"/>
      <c r="E470" s="348"/>
      <c r="F470" s="186"/>
      <c r="G470" s="186"/>
      <c r="H470" s="186"/>
      <c r="I470" s="186"/>
      <c r="J470" s="34"/>
      <c r="K470" s="220"/>
    </row>
    <row r="471" spans="1:13" ht="16.5" customHeight="1" x14ac:dyDescent="0.25">
      <c r="A471" s="248"/>
      <c r="B471" s="249"/>
      <c r="C471" s="75"/>
      <c r="D471" s="186"/>
      <c r="E471" s="161">
        <v>1.1000000000000001</v>
      </c>
      <c r="F471" s="186">
        <v>0.6</v>
      </c>
      <c r="G471" s="186"/>
      <c r="H471" s="186">
        <v>0.2</v>
      </c>
      <c r="I471" s="186" t="s">
        <v>21</v>
      </c>
      <c r="J471" s="34">
        <f>E471*F471*H471</f>
        <v>0.13200000000000001</v>
      </c>
      <c r="K471" s="220"/>
    </row>
    <row r="472" spans="1:13" ht="16.5" customHeight="1" x14ac:dyDescent="0.25">
      <c r="A472" s="248"/>
      <c r="B472" s="249"/>
      <c r="C472" s="75"/>
      <c r="D472" s="186"/>
      <c r="E472" s="161"/>
      <c r="F472" s="186"/>
      <c r="G472" s="186"/>
      <c r="H472" s="186"/>
      <c r="I472" s="186"/>
      <c r="J472" s="34">
        <f>SUM(J465:J471)</f>
        <v>0.41139999999999999</v>
      </c>
      <c r="K472" s="220"/>
    </row>
    <row r="473" spans="1:13" ht="16.5" customHeight="1" x14ac:dyDescent="0.25">
      <c r="A473" s="248"/>
      <c r="B473" s="249"/>
      <c r="C473" s="37"/>
      <c r="D473" s="186"/>
      <c r="E473" s="185">
        <v>4</v>
      </c>
      <c r="F473" s="346" t="s">
        <v>116</v>
      </c>
      <c r="G473" s="346"/>
      <c r="H473" s="346"/>
      <c r="I473" s="186" t="s">
        <v>21</v>
      </c>
      <c r="J473" s="34">
        <f>J472*E473</f>
        <v>1.6456</v>
      </c>
      <c r="K473" s="220" t="s">
        <v>5</v>
      </c>
    </row>
    <row r="474" spans="1:13" ht="18.75" customHeight="1" x14ac:dyDescent="0.25">
      <c r="A474" s="250"/>
      <c r="B474" s="251"/>
      <c r="C474" s="16"/>
      <c r="D474" s="17"/>
      <c r="E474" s="162"/>
      <c r="F474" s="17"/>
      <c r="G474" s="17"/>
      <c r="H474" s="17" t="s">
        <v>19</v>
      </c>
      <c r="I474" s="17"/>
      <c r="J474" s="111">
        <f>J462+J473</f>
        <v>88.567600000000027</v>
      </c>
      <c r="K474" s="221" t="s">
        <v>5</v>
      </c>
    </row>
    <row r="475" spans="1:13" x14ac:dyDescent="0.25">
      <c r="A475" s="252"/>
      <c r="B475" s="253"/>
      <c r="C475" s="37"/>
      <c r="D475" s="186"/>
      <c r="E475" s="161"/>
      <c r="F475" s="186"/>
      <c r="G475" s="186"/>
      <c r="H475" s="186"/>
      <c r="I475" s="186"/>
      <c r="J475" s="34"/>
      <c r="K475" s="220"/>
    </row>
    <row r="476" spans="1:13" ht="14.4" customHeight="1" x14ac:dyDescent="0.25">
      <c r="A476" s="356" t="s">
        <v>209</v>
      </c>
      <c r="B476" s="357" t="s">
        <v>120</v>
      </c>
      <c r="C476" s="312"/>
      <c r="D476" s="311"/>
      <c r="E476" s="311"/>
      <c r="F476" s="311"/>
      <c r="G476" s="311"/>
      <c r="H476" s="311"/>
      <c r="I476" s="311"/>
      <c r="J476" s="311"/>
      <c r="K476" s="110"/>
      <c r="L476" s="218"/>
    </row>
    <row r="477" spans="1:13" x14ac:dyDescent="0.25">
      <c r="A477" s="356"/>
      <c r="B477" s="357"/>
      <c r="C477" s="312"/>
      <c r="D477" s="311"/>
      <c r="E477" s="311"/>
      <c r="F477" s="311"/>
      <c r="G477" s="311"/>
      <c r="H477" s="311"/>
      <c r="I477" s="311"/>
      <c r="J477" s="311"/>
      <c r="K477" s="110"/>
      <c r="L477" s="218"/>
    </row>
    <row r="478" spans="1:13" x14ac:dyDescent="0.25">
      <c r="A478" s="67"/>
      <c r="B478" s="357"/>
      <c r="C478" s="312"/>
      <c r="D478" s="311"/>
      <c r="E478" s="311"/>
      <c r="F478" s="311"/>
      <c r="G478" s="311"/>
      <c r="H478" s="311"/>
      <c r="I478" s="311"/>
      <c r="J478" s="311"/>
      <c r="K478" s="110"/>
      <c r="L478" s="218"/>
    </row>
    <row r="479" spans="1:13" x14ac:dyDescent="0.25">
      <c r="A479" s="67"/>
      <c r="B479" s="357"/>
      <c r="C479" s="312"/>
      <c r="D479" s="311"/>
      <c r="E479" s="311"/>
      <c r="F479" s="311"/>
      <c r="G479" s="311"/>
      <c r="H479" s="311"/>
      <c r="I479" s="311"/>
      <c r="J479" s="311"/>
      <c r="K479" s="110"/>
      <c r="L479" s="218"/>
    </row>
    <row r="480" spans="1:13" x14ac:dyDescent="0.25">
      <c r="A480" s="67"/>
      <c r="B480" s="341"/>
      <c r="C480" s="312"/>
      <c r="D480" s="311"/>
      <c r="E480" s="185"/>
      <c r="F480" s="183"/>
      <c r="G480" s="186"/>
      <c r="H480" s="186"/>
      <c r="I480" s="186"/>
      <c r="J480" s="34"/>
      <c r="K480" s="34"/>
      <c r="L480" s="224"/>
      <c r="M480" s="218"/>
    </row>
    <row r="481" spans="1:13" x14ac:dyDescent="0.25">
      <c r="A481" s="67"/>
      <c r="B481" s="341"/>
      <c r="C481" s="313"/>
      <c r="D481" s="314"/>
      <c r="E481" s="314"/>
      <c r="F481" s="314"/>
      <c r="G481" s="159"/>
      <c r="H481" s="186"/>
      <c r="I481" s="186"/>
      <c r="J481" s="34"/>
      <c r="K481" s="34"/>
      <c r="L481" s="224"/>
      <c r="M481" s="218"/>
    </row>
    <row r="482" spans="1:13" x14ac:dyDescent="0.25">
      <c r="A482" s="67"/>
      <c r="B482" s="341"/>
      <c r="C482" s="347"/>
      <c r="D482" s="348"/>
      <c r="E482" s="161"/>
      <c r="F482" s="183"/>
      <c r="G482" s="161"/>
      <c r="H482" s="183"/>
      <c r="I482" s="183"/>
      <c r="J482" s="34"/>
      <c r="K482" s="34"/>
      <c r="L482" s="224"/>
      <c r="M482" s="218"/>
    </row>
    <row r="483" spans="1:13" ht="28.5" customHeight="1" x14ac:dyDescent="0.25">
      <c r="A483" s="67"/>
      <c r="B483" s="341"/>
      <c r="C483" s="312"/>
      <c r="D483" s="311"/>
      <c r="E483" s="161"/>
      <c r="F483" s="186"/>
      <c r="G483" s="186"/>
      <c r="H483" s="186"/>
      <c r="I483" s="186"/>
      <c r="J483" s="34"/>
      <c r="K483" s="34"/>
      <c r="L483" s="224"/>
      <c r="M483" s="218"/>
    </row>
    <row r="484" spans="1:13" x14ac:dyDescent="0.25">
      <c r="A484" s="67" t="s">
        <v>119</v>
      </c>
      <c r="B484" s="80" t="s">
        <v>118</v>
      </c>
      <c r="C484" s="37"/>
      <c r="D484" s="315"/>
      <c r="E484" s="315"/>
      <c r="F484" s="315"/>
      <c r="G484" s="315"/>
      <c r="H484" s="315"/>
      <c r="I484" s="183"/>
      <c r="J484" s="34"/>
      <c r="K484" s="34"/>
      <c r="L484" s="224"/>
      <c r="M484" s="218"/>
    </row>
    <row r="485" spans="1:13" x14ac:dyDescent="0.25">
      <c r="A485" s="121"/>
      <c r="B485" s="123"/>
      <c r="C485" s="37"/>
      <c r="D485" s="183"/>
      <c r="E485" s="183"/>
      <c r="F485" s="183"/>
      <c r="G485" s="183"/>
      <c r="H485" s="183"/>
      <c r="I485" s="183"/>
      <c r="J485" s="34"/>
      <c r="K485" s="34"/>
      <c r="L485" s="224"/>
      <c r="M485" s="218"/>
    </row>
    <row r="486" spans="1:13" ht="24" customHeight="1" x14ac:dyDescent="0.25">
      <c r="A486" s="121"/>
      <c r="B486" s="123"/>
      <c r="C486" s="313" t="s">
        <v>121</v>
      </c>
      <c r="D486" s="314"/>
      <c r="E486" s="314"/>
      <c r="F486" s="314"/>
      <c r="G486" s="183"/>
      <c r="H486" s="183"/>
      <c r="I486" s="183"/>
      <c r="J486" s="34"/>
      <c r="K486" s="34"/>
      <c r="L486" s="224"/>
      <c r="M486" s="218"/>
    </row>
    <row r="487" spans="1:13" x14ac:dyDescent="0.25">
      <c r="A487" s="121"/>
      <c r="B487" s="123"/>
      <c r="C487" s="313" t="s">
        <v>122</v>
      </c>
      <c r="D487" s="314"/>
      <c r="E487" s="314"/>
      <c r="F487" s="314"/>
      <c r="G487" s="314"/>
      <c r="H487" s="314"/>
      <c r="I487" s="183"/>
      <c r="J487" s="34"/>
      <c r="K487" s="34"/>
      <c r="L487" s="224"/>
      <c r="M487" s="218"/>
    </row>
    <row r="488" spans="1:13" x14ac:dyDescent="0.25">
      <c r="A488" s="121"/>
      <c r="B488" s="123"/>
      <c r="C488" s="75">
        <v>4</v>
      </c>
      <c r="D488" s="183"/>
      <c r="E488" s="183">
        <v>2</v>
      </c>
      <c r="F488" s="183">
        <v>33</v>
      </c>
      <c r="G488" s="183"/>
      <c r="H488" s="183">
        <v>0.9</v>
      </c>
      <c r="I488" s="161">
        <v>0.89</v>
      </c>
      <c r="J488" s="34">
        <f>C488*E488*F488*H488*I488</f>
        <v>211.464</v>
      </c>
      <c r="K488" s="34"/>
      <c r="L488" s="224"/>
      <c r="M488" s="218"/>
    </row>
    <row r="489" spans="1:13" x14ac:dyDescent="0.25">
      <c r="A489" s="121"/>
      <c r="B489" s="123"/>
      <c r="C489" s="313" t="s">
        <v>123</v>
      </c>
      <c r="D489" s="314"/>
      <c r="E489" s="314"/>
      <c r="F489" s="314"/>
      <c r="G489" s="314"/>
      <c r="H489" s="314"/>
      <c r="I489" s="183"/>
      <c r="J489" s="34"/>
      <c r="K489" s="34"/>
      <c r="L489" s="224"/>
      <c r="M489" s="218"/>
    </row>
    <row r="490" spans="1:13" x14ac:dyDescent="0.25">
      <c r="A490" s="121"/>
      <c r="B490" s="123"/>
      <c r="C490" s="75">
        <v>4</v>
      </c>
      <c r="D490" s="183"/>
      <c r="E490" s="183">
        <v>2</v>
      </c>
      <c r="F490" s="183">
        <v>7</v>
      </c>
      <c r="G490" s="183"/>
      <c r="H490" s="183">
        <v>4.8</v>
      </c>
      <c r="I490" s="161">
        <v>0.89</v>
      </c>
      <c r="J490" s="34">
        <f>C490*E490*F490*H490*I490</f>
        <v>239.23200000000003</v>
      </c>
      <c r="K490" s="34"/>
      <c r="L490" s="224"/>
      <c r="M490" s="218"/>
    </row>
    <row r="491" spans="1:13" x14ac:dyDescent="0.25">
      <c r="A491" s="121"/>
      <c r="B491" s="123"/>
      <c r="C491" s="313" t="s">
        <v>124</v>
      </c>
      <c r="D491" s="314"/>
      <c r="E491" s="314"/>
      <c r="F491" s="314"/>
      <c r="G491" s="314"/>
      <c r="H491" s="314"/>
      <c r="I491" s="183"/>
      <c r="J491" s="34"/>
      <c r="K491" s="34"/>
      <c r="L491" s="224"/>
      <c r="M491" s="218"/>
    </row>
    <row r="492" spans="1:13" x14ac:dyDescent="0.25">
      <c r="A492" s="121"/>
      <c r="B492" s="123"/>
      <c r="C492" s="75"/>
      <c r="D492" s="183"/>
      <c r="E492" s="183"/>
      <c r="F492" s="183">
        <v>23</v>
      </c>
      <c r="G492" s="183"/>
      <c r="H492" s="183">
        <v>10.5</v>
      </c>
      <c r="I492" s="161">
        <v>0.89</v>
      </c>
      <c r="J492" s="34">
        <f>F492*H492*I492</f>
        <v>214.935</v>
      </c>
      <c r="K492" s="34"/>
      <c r="L492" s="224"/>
      <c r="M492" s="218"/>
    </row>
    <row r="493" spans="1:13" x14ac:dyDescent="0.25">
      <c r="A493" s="121"/>
      <c r="B493" s="123"/>
      <c r="C493" s="37"/>
      <c r="D493" s="183"/>
      <c r="E493" s="183"/>
      <c r="F493" s="183">
        <v>71</v>
      </c>
      <c r="G493" s="183"/>
      <c r="H493" s="183">
        <v>3.4</v>
      </c>
      <c r="I493" s="161">
        <v>0.89</v>
      </c>
      <c r="J493" s="34">
        <f>F493*H493*I493</f>
        <v>214.846</v>
      </c>
      <c r="K493" s="34"/>
      <c r="L493" s="224"/>
      <c r="M493" s="218"/>
    </row>
    <row r="494" spans="1:13" x14ac:dyDescent="0.25">
      <c r="A494" s="121"/>
      <c r="B494" s="123"/>
      <c r="C494" s="313" t="s">
        <v>125</v>
      </c>
      <c r="D494" s="314"/>
      <c r="E494" s="314"/>
      <c r="F494" s="314"/>
      <c r="G494" s="314"/>
      <c r="H494" s="314"/>
      <c r="I494" s="161"/>
      <c r="J494" s="34"/>
      <c r="K494" s="34"/>
      <c r="L494" s="224"/>
      <c r="M494" s="218"/>
    </row>
    <row r="495" spans="1:13" x14ac:dyDescent="0.25">
      <c r="A495" s="121"/>
      <c r="B495" s="123"/>
      <c r="C495" s="75"/>
      <c r="D495" s="183"/>
      <c r="E495" s="183">
        <v>2</v>
      </c>
      <c r="F495" s="183">
        <v>6</v>
      </c>
      <c r="G495" s="183"/>
      <c r="H495" s="183">
        <v>10.5</v>
      </c>
      <c r="I495" s="161">
        <v>0.89</v>
      </c>
      <c r="J495" s="34">
        <f>E495*F495*H495*I495</f>
        <v>112.14</v>
      </c>
      <c r="K495" s="34"/>
      <c r="L495" s="224"/>
      <c r="M495" s="218"/>
    </row>
    <row r="496" spans="1:13" ht="18.75" customHeight="1" x14ac:dyDescent="0.25">
      <c r="A496" s="121"/>
      <c r="B496" s="123"/>
      <c r="C496" s="347" t="s">
        <v>126</v>
      </c>
      <c r="D496" s="348"/>
      <c r="E496" s="348"/>
      <c r="F496" s="348"/>
      <c r="G496" s="348"/>
      <c r="H496" s="183"/>
      <c r="I496" s="161"/>
      <c r="J496" s="34"/>
      <c r="K496" s="34"/>
      <c r="L496" s="224"/>
      <c r="M496" s="218"/>
    </row>
    <row r="497" spans="1:13" x14ac:dyDescent="0.25">
      <c r="A497" s="121"/>
      <c r="B497" s="123"/>
      <c r="C497" s="75"/>
      <c r="D497" s="183"/>
      <c r="E497" s="183">
        <v>2</v>
      </c>
      <c r="F497" s="183">
        <v>54</v>
      </c>
      <c r="G497" s="183"/>
      <c r="H497" s="183">
        <v>1.9</v>
      </c>
      <c r="I497" s="161">
        <v>0.62</v>
      </c>
      <c r="J497" s="34">
        <f>E497*F497*H497*I497</f>
        <v>127.22399999999999</v>
      </c>
      <c r="K497" s="34"/>
      <c r="L497" s="224"/>
      <c r="M497" s="218"/>
    </row>
    <row r="498" spans="1:13" x14ac:dyDescent="0.25">
      <c r="A498" s="121"/>
      <c r="B498" s="123"/>
      <c r="C498" s="349" t="s">
        <v>108</v>
      </c>
      <c r="D498" s="350"/>
      <c r="E498" s="350"/>
      <c r="F498" s="350"/>
      <c r="G498" s="183"/>
      <c r="H498" s="183"/>
      <c r="I498" s="161"/>
      <c r="J498" s="34"/>
      <c r="K498" s="34"/>
      <c r="L498" s="224"/>
      <c r="M498" s="218"/>
    </row>
    <row r="499" spans="1:13" x14ac:dyDescent="0.25">
      <c r="A499" s="121"/>
      <c r="B499" s="123"/>
      <c r="C499" s="349" t="s">
        <v>127</v>
      </c>
      <c r="D499" s="350"/>
      <c r="E499" s="350"/>
      <c r="F499" s="350"/>
      <c r="G499" s="350"/>
      <c r="H499" s="183"/>
      <c r="I499" s="161"/>
      <c r="J499" s="34"/>
      <c r="K499" s="34"/>
      <c r="L499" s="224"/>
      <c r="M499" s="218"/>
    </row>
    <row r="500" spans="1:13" x14ac:dyDescent="0.25">
      <c r="A500" s="121"/>
      <c r="B500" s="123"/>
      <c r="C500" s="75">
        <v>2</v>
      </c>
      <c r="D500" s="183"/>
      <c r="E500" s="183">
        <v>2</v>
      </c>
      <c r="F500" s="183">
        <v>25</v>
      </c>
      <c r="G500" s="183"/>
      <c r="H500" s="183">
        <v>0.4</v>
      </c>
      <c r="I500" s="161">
        <v>0.89</v>
      </c>
      <c r="J500" s="34">
        <f>C500*E500*F500*H500*I500</f>
        <v>35.6</v>
      </c>
      <c r="K500" s="34"/>
      <c r="L500" s="224"/>
      <c r="M500" s="218"/>
    </row>
    <row r="501" spans="1:13" x14ac:dyDescent="0.25">
      <c r="A501" s="121"/>
      <c r="B501" s="123"/>
      <c r="C501" s="349" t="s">
        <v>128</v>
      </c>
      <c r="D501" s="350"/>
      <c r="E501" s="350"/>
      <c r="F501" s="350"/>
      <c r="G501" s="350"/>
      <c r="H501" s="183"/>
      <c r="I501" s="161"/>
      <c r="J501" s="34"/>
      <c r="K501" s="34"/>
      <c r="L501" s="224"/>
      <c r="M501" s="218"/>
    </row>
    <row r="502" spans="1:13" x14ac:dyDescent="0.25">
      <c r="A502" s="121"/>
      <c r="B502" s="123"/>
      <c r="C502" s="75">
        <v>2</v>
      </c>
      <c r="D502" s="183"/>
      <c r="E502" s="183">
        <v>2</v>
      </c>
      <c r="F502" s="183">
        <v>4</v>
      </c>
      <c r="G502" s="183"/>
      <c r="H502" s="183">
        <v>4.8</v>
      </c>
      <c r="I502" s="161">
        <v>0.89</v>
      </c>
      <c r="J502" s="34">
        <f>C502*E502*F502*H502*I502</f>
        <v>68.352000000000004</v>
      </c>
      <c r="K502" s="34"/>
      <c r="L502" s="224"/>
      <c r="M502" s="218"/>
    </row>
    <row r="503" spans="1:13" x14ac:dyDescent="0.25">
      <c r="A503" s="121"/>
      <c r="B503" s="123"/>
      <c r="C503" s="189" t="s">
        <v>109</v>
      </c>
      <c r="D503" s="183"/>
      <c r="E503" s="183"/>
      <c r="F503" s="183"/>
      <c r="G503" s="183"/>
      <c r="H503" s="183"/>
      <c r="I503" s="161"/>
      <c r="J503" s="34"/>
      <c r="K503" s="34"/>
      <c r="L503" s="224"/>
      <c r="M503" s="218"/>
    </row>
    <row r="504" spans="1:13" x14ac:dyDescent="0.25">
      <c r="A504" s="121"/>
      <c r="B504" s="123"/>
      <c r="C504" s="75" t="s">
        <v>129</v>
      </c>
      <c r="D504" s="183"/>
      <c r="E504" s="183"/>
      <c r="F504" s="183"/>
      <c r="G504" s="183"/>
      <c r="H504" s="183"/>
      <c r="I504" s="161"/>
      <c r="J504" s="34"/>
      <c r="K504" s="34"/>
      <c r="L504" s="224"/>
      <c r="M504" s="218"/>
    </row>
    <row r="505" spans="1:13" x14ac:dyDescent="0.25">
      <c r="A505" s="121"/>
      <c r="B505" s="123"/>
      <c r="C505" s="75"/>
      <c r="D505" s="183"/>
      <c r="E505" s="183">
        <v>2</v>
      </c>
      <c r="F505" s="183">
        <v>3</v>
      </c>
      <c r="G505" s="183"/>
      <c r="H505" s="183">
        <v>0.5</v>
      </c>
      <c r="I505" s="161">
        <v>0.89</v>
      </c>
      <c r="J505" s="34">
        <f>E505*F505*H505*I505</f>
        <v>2.67</v>
      </c>
      <c r="K505" s="34"/>
      <c r="L505" s="224"/>
      <c r="M505" s="218"/>
    </row>
    <row r="506" spans="1:13" x14ac:dyDescent="0.25">
      <c r="A506" s="121"/>
      <c r="B506" s="123"/>
      <c r="C506" s="75" t="s">
        <v>130</v>
      </c>
      <c r="D506" s="183"/>
      <c r="E506" s="183"/>
      <c r="F506" s="183"/>
      <c r="G506" s="183"/>
      <c r="H506" s="183"/>
      <c r="I506" s="161"/>
      <c r="J506" s="34"/>
      <c r="K506" s="34"/>
      <c r="L506" s="224"/>
      <c r="M506" s="218"/>
    </row>
    <row r="507" spans="1:13" x14ac:dyDescent="0.25">
      <c r="A507" s="121"/>
      <c r="B507" s="123"/>
      <c r="C507" s="75"/>
      <c r="D507" s="183"/>
      <c r="E507" s="183">
        <v>2</v>
      </c>
      <c r="F507" s="183">
        <v>5</v>
      </c>
      <c r="G507" s="183"/>
      <c r="H507" s="183">
        <v>4.8</v>
      </c>
      <c r="I507" s="161">
        <v>0.89</v>
      </c>
      <c r="J507" s="34">
        <f>E507*F507*H507*I507</f>
        <v>42.72</v>
      </c>
      <c r="K507" s="34"/>
      <c r="L507" s="224"/>
      <c r="M507" s="218"/>
    </row>
    <row r="508" spans="1:13" x14ac:dyDescent="0.25">
      <c r="A508" s="121"/>
      <c r="B508" s="123"/>
      <c r="C508" s="75" t="s">
        <v>131</v>
      </c>
      <c r="D508" s="183"/>
      <c r="E508" s="183"/>
      <c r="F508" s="183"/>
      <c r="G508" s="183"/>
      <c r="H508" s="183"/>
      <c r="I508" s="161"/>
      <c r="J508" s="34"/>
      <c r="K508" s="34"/>
      <c r="L508" s="224"/>
      <c r="M508" s="218"/>
    </row>
    <row r="509" spans="1:13" x14ac:dyDescent="0.25">
      <c r="A509" s="121"/>
      <c r="B509" s="123"/>
      <c r="C509" s="75"/>
      <c r="D509" s="183"/>
      <c r="E509" s="183" t="s">
        <v>132</v>
      </c>
      <c r="F509" s="183"/>
      <c r="G509" s="183"/>
      <c r="H509" s="183"/>
      <c r="I509" s="161"/>
      <c r="J509" s="34"/>
      <c r="K509" s="34"/>
      <c r="L509" s="224"/>
      <c r="M509" s="218"/>
    </row>
    <row r="510" spans="1:13" x14ac:dyDescent="0.25">
      <c r="A510" s="121"/>
      <c r="B510" s="123"/>
      <c r="C510" s="75" t="s">
        <v>110</v>
      </c>
      <c r="D510" s="183"/>
      <c r="E510" s="183">
        <v>2</v>
      </c>
      <c r="F510" s="183">
        <v>4</v>
      </c>
      <c r="G510" s="183"/>
      <c r="H510" s="183">
        <v>4.8</v>
      </c>
      <c r="I510" s="161">
        <v>0.89</v>
      </c>
      <c r="J510" s="34">
        <f>E510*F510*H510*I510</f>
        <v>34.176000000000002</v>
      </c>
      <c r="K510" s="34"/>
      <c r="L510" s="224"/>
      <c r="M510" s="218"/>
    </row>
    <row r="511" spans="1:13" ht="18.75" customHeight="1" x14ac:dyDescent="0.25">
      <c r="A511" s="121"/>
      <c r="B511" s="123"/>
      <c r="C511" s="75"/>
      <c r="D511" s="183"/>
      <c r="E511" s="315" t="s">
        <v>133</v>
      </c>
      <c r="F511" s="315"/>
      <c r="G511" s="315"/>
      <c r="H511" s="183"/>
      <c r="I511" s="161"/>
      <c r="J511" s="34"/>
      <c r="K511" s="34"/>
      <c r="L511" s="224"/>
      <c r="M511" s="218"/>
    </row>
    <row r="512" spans="1:13" x14ac:dyDescent="0.25">
      <c r="A512" s="121"/>
      <c r="B512" s="123"/>
      <c r="C512" s="75"/>
      <c r="D512" s="183"/>
      <c r="E512" s="183">
        <v>2</v>
      </c>
      <c r="F512" s="183">
        <v>2</v>
      </c>
      <c r="G512" s="183"/>
      <c r="H512" s="183">
        <v>33</v>
      </c>
      <c r="I512" s="161">
        <v>0.89</v>
      </c>
      <c r="J512" s="34">
        <f>E512*F512*H512*I512</f>
        <v>117.48</v>
      </c>
      <c r="K512" s="34"/>
      <c r="L512" s="224"/>
      <c r="M512" s="218"/>
    </row>
    <row r="513" spans="1:13" x14ac:dyDescent="0.25">
      <c r="A513" s="121"/>
      <c r="B513" s="123"/>
      <c r="C513" s="75"/>
      <c r="D513" s="183"/>
      <c r="E513" s="183"/>
      <c r="F513" s="183"/>
      <c r="G513" s="183"/>
      <c r="H513" s="183"/>
      <c r="I513" s="161"/>
      <c r="J513" s="34">
        <f>SUM(J488:J512)</f>
        <v>1420.8390000000002</v>
      </c>
      <c r="K513" s="34"/>
      <c r="L513" s="224"/>
      <c r="M513" s="218"/>
    </row>
    <row r="514" spans="1:13" x14ac:dyDescent="0.25">
      <c r="A514" s="121"/>
      <c r="B514" s="123"/>
      <c r="C514" s="75"/>
      <c r="D514" s="183"/>
      <c r="E514" s="185">
        <v>4</v>
      </c>
      <c r="F514" s="315" t="s">
        <v>111</v>
      </c>
      <c r="G514" s="315"/>
      <c r="H514" s="186"/>
      <c r="I514" s="186" t="s">
        <v>21</v>
      </c>
      <c r="J514" s="34">
        <f>J513*E514</f>
        <v>5683.3560000000007</v>
      </c>
      <c r="K514" s="220" t="s">
        <v>39</v>
      </c>
      <c r="L514" s="224"/>
      <c r="M514" s="218"/>
    </row>
    <row r="515" spans="1:13" x14ac:dyDescent="0.25">
      <c r="A515" s="121"/>
      <c r="B515" s="123"/>
      <c r="C515" s="75"/>
      <c r="D515" s="183"/>
      <c r="E515" s="183"/>
      <c r="F515" s="183"/>
      <c r="G515" s="183"/>
      <c r="H515" s="183"/>
      <c r="I515" s="161"/>
      <c r="J515" s="34"/>
      <c r="K515" s="34"/>
      <c r="L515" s="224"/>
      <c r="M515" s="218"/>
    </row>
    <row r="516" spans="1:13" ht="15.75" customHeight="1" x14ac:dyDescent="0.25">
      <c r="A516" s="121"/>
      <c r="B516" s="123"/>
      <c r="C516" s="349" t="s">
        <v>112</v>
      </c>
      <c r="D516" s="350"/>
      <c r="E516" s="350"/>
      <c r="F516" s="183"/>
      <c r="G516" s="183"/>
      <c r="H516" s="183"/>
      <c r="I516" s="161"/>
      <c r="J516" s="34"/>
      <c r="K516" s="34"/>
      <c r="L516" s="224"/>
      <c r="M516" s="218"/>
    </row>
    <row r="517" spans="1:13" x14ac:dyDescent="0.25">
      <c r="A517" s="121"/>
      <c r="B517" s="123"/>
      <c r="C517" s="75" t="s">
        <v>134</v>
      </c>
      <c r="D517" s="183"/>
      <c r="E517" s="183"/>
      <c r="F517" s="183"/>
      <c r="G517" s="183"/>
      <c r="H517" s="183"/>
      <c r="I517" s="161"/>
      <c r="J517" s="34"/>
      <c r="K517" s="34"/>
      <c r="L517" s="224"/>
      <c r="M517" s="218"/>
    </row>
    <row r="518" spans="1:13" x14ac:dyDescent="0.25">
      <c r="A518" s="121"/>
      <c r="B518" s="123"/>
      <c r="C518" s="347" t="s">
        <v>135</v>
      </c>
      <c r="D518" s="348"/>
      <c r="E518" s="348"/>
      <c r="F518" s="348"/>
      <c r="G518" s="348"/>
      <c r="H518" s="183"/>
      <c r="I518" s="161"/>
      <c r="J518" s="34"/>
      <c r="K518" s="34"/>
      <c r="L518" s="224"/>
      <c r="M518" s="218"/>
    </row>
    <row r="519" spans="1:13" x14ac:dyDescent="0.25">
      <c r="A519" s="121"/>
      <c r="B519" s="123"/>
      <c r="C519" s="75"/>
      <c r="D519" s="183"/>
      <c r="E519" s="183">
        <v>2</v>
      </c>
      <c r="F519" s="183">
        <v>11</v>
      </c>
      <c r="G519" s="183"/>
      <c r="H519" s="183">
        <v>0.8</v>
      </c>
      <c r="I519" s="161">
        <v>0.89</v>
      </c>
      <c r="J519" s="34">
        <f>E519*F519*H519*I519</f>
        <v>15.664000000000001</v>
      </c>
      <c r="K519" s="34"/>
      <c r="L519" s="224"/>
      <c r="M519" s="218"/>
    </row>
    <row r="520" spans="1:13" x14ac:dyDescent="0.25">
      <c r="A520" s="121"/>
      <c r="B520" s="123"/>
      <c r="C520" s="347" t="s">
        <v>136</v>
      </c>
      <c r="D520" s="348"/>
      <c r="E520" s="348"/>
      <c r="F520" s="348"/>
      <c r="G520" s="348"/>
      <c r="H520" s="183"/>
      <c r="I520" s="161"/>
      <c r="J520" s="34"/>
      <c r="K520" s="34"/>
      <c r="L520" s="224"/>
      <c r="M520" s="218"/>
    </row>
    <row r="521" spans="1:13" x14ac:dyDescent="0.25">
      <c r="A521" s="121"/>
      <c r="B521" s="123"/>
      <c r="C521" s="75"/>
      <c r="D521" s="183"/>
      <c r="E521" s="183">
        <v>2</v>
      </c>
      <c r="F521" s="183">
        <v>6</v>
      </c>
      <c r="G521" s="183"/>
      <c r="H521" s="183">
        <v>1.1000000000000001</v>
      </c>
      <c r="I521" s="161">
        <v>0.89</v>
      </c>
      <c r="J521" s="34">
        <f>E521*F521*H521*I521</f>
        <v>11.748000000000001</v>
      </c>
      <c r="K521" s="34"/>
      <c r="L521" s="224"/>
      <c r="M521" s="218"/>
    </row>
    <row r="522" spans="1:13" x14ac:dyDescent="0.25">
      <c r="A522" s="121"/>
      <c r="B522" s="123"/>
      <c r="C522" s="75" t="s">
        <v>137</v>
      </c>
      <c r="D522" s="183"/>
      <c r="E522" s="183"/>
      <c r="F522" s="183"/>
      <c r="G522" s="183"/>
      <c r="H522" s="183"/>
      <c r="I522" s="161"/>
      <c r="J522" s="34"/>
      <c r="K522" s="34"/>
      <c r="L522" s="224"/>
      <c r="M522" s="218"/>
    </row>
    <row r="523" spans="1:13" x14ac:dyDescent="0.25">
      <c r="A523" s="121"/>
      <c r="B523" s="123"/>
      <c r="C523" s="75" t="s">
        <v>138</v>
      </c>
      <c r="D523" s="183"/>
      <c r="E523" s="183">
        <v>2</v>
      </c>
      <c r="F523" s="183">
        <v>4</v>
      </c>
      <c r="G523" s="183"/>
      <c r="H523" s="183">
        <v>1.85</v>
      </c>
      <c r="I523" s="161">
        <v>0.89</v>
      </c>
      <c r="J523" s="34">
        <f>E523*F523*H523*I523</f>
        <v>13.172000000000001</v>
      </c>
      <c r="K523" s="34"/>
      <c r="L523" s="224"/>
      <c r="M523" s="218"/>
    </row>
    <row r="524" spans="1:13" ht="16.5" customHeight="1" x14ac:dyDescent="0.25">
      <c r="A524" s="121"/>
      <c r="B524" s="123"/>
      <c r="C524" s="349" t="s">
        <v>139</v>
      </c>
      <c r="D524" s="350"/>
      <c r="E524" s="350"/>
      <c r="F524" s="350"/>
      <c r="G524" s="183"/>
      <c r="H524" s="183"/>
      <c r="I524" s="161"/>
      <c r="J524" s="34"/>
      <c r="K524" s="34"/>
      <c r="L524" s="224"/>
      <c r="M524" s="218"/>
    </row>
    <row r="525" spans="1:13" x14ac:dyDescent="0.25">
      <c r="A525" s="121"/>
      <c r="B525" s="123"/>
      <c r="C525" s="75"/>
      <c r="D525" s="183"/>
      <c r="E525" s="183">
        <v>2</v>
      </c>
      <c r="F525" s="183">
        <v>10</v>
      </c>
      <c r="G525" s="183"/>
      <c r="H525" s="183">
        <v>0.8</v>
      </c>
      <c r="I525" s="161">
        <v>0.62</v>
      </c>
      <c r="J525" s="34">
        <f>E525*F525*H525*I525</f>
        <v>9.92</v>
      </c>
      <c r="K525" s="34"/>
      <c r="L525" s="224"/>
      <c r="M525" s="218"/>
    </row>
    <row r="526" spans="1:13" x14ac:dyDescent="0.25">
      <c r="A526" s="121"/>
      <c r="B526" s="123"/>
      <c r="C526" s="75" t="s">
        <v>140</v>
      </c>
      <c r="D526" s="183"/>
      <c r="E526" s="183"/>
      <c r="F526" s="183"/>
      <c r="G526" s="183"/>
      <c r="H526" s="183"/>
      <c r="I526" s="161"/>
      <c r="J526" s="34"/>
      <c r="K526" s="34"/>
      <c r="L526" s="224"/>
      <c r="M526" s="218"/>
    </row>
    <row r="527" spans="1:13" x14ac:dyDescent="0.25">
      <c r="A527" s="121"/>
      <c r="B527" s="123"/>
      <c r="C527" s="75" t="s">
        <v>141</v>
      </c>
      <c r="D527" s="183"/>
      <c r="E527" s="183"/>
      <c r="F527" s="183"/>
      <c r="G527" s="183"/>
      <c r="H527" s="183"/>
      <c r="I527" s="161"/>
      <c r="J527" s="34"/>
      <c r="K527" s="34"/>
      <c r="L527" s="224"/>
      <c r="M527" s="218"/>
    </row>
    <row r="528" spans="1:13" x14ac:dyDescent="0.25">
      <c r="A528" s="121"/>
      <c r="B528" s="123"/>
      <c r="C528" s="75"/>
      <c r="D528" s="183"/>
      <c r="E528" s="183">
        <v>2</v>
      </c>
      <c r="F528" s="183">
        <v>7</v>
      </c>
      <c r="G528" s="183"/>
      <c r="H528" s="183">
        <v>0.8</v>
      </c>
      <c r="I528" s="161">
        <v>0.62</v>
      </c>
      <c r="J528" s="34">
        <f>E528*F528*H528*I528</f>
        <v>6.9440000000000008</v>
      </c>
      <c r="K528" s="34"/>
      <c r="L528" s="224"/>
      <c r="M528" s="218"/>
    </row>
    <row r="529" spans="1:13" x14ac:dyDescent="0.25">
      <c r="A529" s="121"/>
      <c r="B529" s="123"/>
      <c r="C529" s="75" t="s">
        <v>142</v>
      </c>
      <c r="D529" s="183"/>
      <c r="E529" s="183"/>
      <c r="F529" s="183"/>
      <c r="G529" s="183"/>
      <c r="H529" s="183"/>
      <c r="I529" s="161"/>
      <c r="J529" s="34"/>
      <c r="K529" s="34"/>
      <c r="L529" s="224"/>
      <c r="M529" s="218"/>
    </row>
    <row r="530" spans="1:13" x14ac:dyDescent="0.25">
      <c r="A530" s="121"/>
      <c r="B530" s="123"/>
      <c r="C530" s="75"/>
      <c r="D530" s="183"/>
      <c r="E530" s="183">
        <v>2</v>
      </c>
      <c r="F530" s="183">
        <v>3</v>
      </c>
      <c r="G530" s="183"/>
      <c r="H530" s="183">
        <v>1</v>
      </c>
      <c r="I530" s="161">
        <v>0.62</v>
      </c>
      <c r="J530" s="34">
        <f>E530*F530*H530*I530</f>
        <v>3.7199999999999998</v>
      </c>
      <c r="K530" s="34"/>
      <c r="L530" s="224"/>
      <c r="M530" s="218"/>
    </row>
    <row r="531" spans="1:13" x14ac:dyDescent="0.25">
      <c r="A531" s="121"/>
      <c r="B531" s="123"/>
      <c r="C531" s="75"/>
      <c r="D531" s="183"/>
      <c r="E531" s="183"/>
      <c r="F531" s="183"/>
      <c r="G531" s="183"/>
      <c r="H531" s="183"/>
      <c r="I531" s="161"/>
      <c r="J531" s="34">
        <f>SUM(J519:J530)</f>
        <v>61.168000000000006</v>
      </c>
      <c r="K531" s="34"/>
      <c r="L531" s="224"/>
      <c r="M531" s="218"/>
    </row>
    <row r="532" spans="1:13" x14ac:dyDescent="0.25">
      <c r="A532" s="121"/>
      <c r="B532" s="123"/>
      <c r="C532" s="75"/>
      <c r="D532" s="183"/>
      <c r="E532" s="185">
        <v>4</v>
      </c>
      <c r="F532" s="346" t="s">
        <v>116</v>
      </c>
      <c r="G532" s="346"/>
      <c r="H532" s="346"/>
      <c r="I532" s="186" t="s">
        <v>21</v>
      </c>
      <c r="J532" s="34">
        <f>J531*E532</f>
        <v>244.67200000000003</v>
      </c>
      <c r="K532" s="220" t="s">
        <v>39</v>
      </c>
      <c r="L532" s="224"/>
      <c r="M532" s="218"/>
    </row>
    <row r="533" spans="1:13" x14ac:dyDescent="0.25">
      <c r="A533" s="121"/>
      <c r="B533" s="123"/>
      <c r="C533" s="75"/>
      <c r="D533" s="183"/>
      <c r="E533" s="183"/>
      <c r="F533" s="183"/>
      <c r="G533" s="183"/>
      <c r="H533" s="183"/>
      <c r="I533" s="161"/>
      <c r="J533" s="34"/>
      <c r="K533" s="34"/>
      <c r="L533" s="224"/>
      <c r="M533" s="218"/>
    </row>
    <row r="534" spans="1:13" x14ac:dyDescent="0.25">
      <c r="A534" s="121"/>
      <c r="B534" s="123"/>
      <c r="C534" s="75"/>
      <c r="D534" s="183"/>
      <c r="E534" s="183"/>
      <c r="F534" s="183"/>
      <c r="G534" s="183"/>
      <c r="H534" s="183" t="s">
        <v>19</v>
      </c>
      <c r="I534" s="161"/>
      <c r="J534" s="34">
        <f>J514+J532</f>
        <v>5928.0280000000002</v>
      </c>
      <c r="K534" s="34" t="s">
        <v>39</v>
      </c>
      <c r="L534" s="224"/>
      <c r="M534" s="218"/>
    </row>
    <row r="535" spans="1:13" ht="15" customHeight="1" x14ac:dyDescent="0.25">
      <c r="A535" s="121"/>
      <c r="B535" s="123"/>
      <c r="C535" s="37"/>
      <c r="D535" s="183"/>
      <c r="E535" s="183"/>
      <c r="F535" s="183"/>
      <c r="G535" s="183"/>
      <c r="H535" s="183"/>
      <c r="I535" s="183"/>
      <c r="J535" s="34"/>
      <c r="K535" s="34"/>
      <c r="L535" s="224"/>
      <c r="M535" s="218"/>
    </row>
    <row r="536" spans="1:13" ht="25.5" customHeight="1" x14ac:dyDescent="0.25">
      <c r="A536" s="122"/>
      <c r="B536" s="124"/>
      <c r="C536" s="37"/>
      <c r="D536" s="125"/>
      <c r="E536" s="126"/>
      <c r="F536" s="125"/>
      <c r="G536" s="186"/>
      <c r="H536" s="186"/>
      <c r="I536" s="186"/>
      <c r="J536" s="127"/>
      <c r="K536" s="230"/>
      <c r="L536" s="224"/>
      <c r="M536" s="218"/>
    </row>
    <row r="537" spans="1:13" ht="24" customHeight="1" x14ac:dyDescent="0.25">
      <c r="A537" s="358" t="s">
        <v>211</v>
      </c>
      <c r="B537" s="359" t="s">
        <v>259</v>
      </c>
      <c r="C537" s="172"/>
      <c r="D537" s="173"/>
      <c r="E537" s="173"/>
      <c r="F537" s="173"/>
      <c r="G537" s="173"/>
      <c r="H537" s="173"/>
      <c r="I537" s="173"/>
      <c r="J537" s="173"/>
      <c r="K537" s="128"/>
      <c r="L537" s="218"/>
    </row>
    <row r="538" spans="1:13" x14ac:dyDescent="0.25">
      <c r="A538" s="356"/>
      <c r="B538" s="360"/>
      <c r="C538" s="163"/>
      <c r="D538" s="161"/>
      <c r="E538" s="161"/>
      <c r="F538" s="161"/>
      <c r="G538" s="161"/>
      <c r="H538" s="161"/>
      <c r="I538" s="161"/>
      <c r="J538" s="161"/>
      <c r="K538" s="110"/>
      <c r="L538" s="218"/>
    </row>
    <row r="539" spans="1:13" x14ac:dyDescent="0.25">
      <c r="A539" s="18"/>
      <c r="B539" s="360"/>
      <c r="C539" s="163"/>
      <c r="D539" s="161"/>
      <c r="E539" s="161"/>
      <c r="F539" s="161"/>
      <c r="G539" s="161"/>
      <c r="H539" s="161"/>
      <c r="I539" s="161"/>
      <c r="J539" s="161"/>
      <c r="K539" s="110"/>
      <c r="L539" s="218"/>
    </row>
    <row r="540" spans="1:13" x14ac:dyDescent="0.25">
      <c r="A540" s="18"/>
      <c r="B540" s="360"/>
      <c r="C540" s="163"/>
      <c r="D540" s="161"/>
      <c r="E540" s="161"/>
      <c r="F540" s="161"/>
      <c r="G540" s="161"/>
      <c r="H540" s="161"/>
      <c r="I540" s="161"/>
      <c r="J540" s="161"/>
      <c r="K540" s="110"/>
      <c r="L540" s="218"/>
    </row>
    <row r="541" spans="1:13" x14ac:dyDescent="0.25">
      <c r="A541" s="18"/>
      <c r="B541" s="360"/>
      <c r="C541" s="312"/>
      <c r="D541" s="311"/>
      <c r="E541" s="161"/>
      <c r="F541" s="183"/>
      <c r="G541" s="186"/>
      <c r="H541" s="186"/>
      <c r="I541" s="186"/>
      <c r="J541" s="34"/>
      <c r="K541" s="129"/>
    </row>
    <row r="542" spans="1:13" x14ac:dyDescent="0.25">
      <c r="A542" s="18"/>
      <c r="B542" s="360"/>
      <c r="C542" s="313"/>
      <c r="D542" s="314"/>
      <c r="E542" s="314"/>
      <c r="F542" s="314"/>
      <c r="G542" s="159"/>
      <c r="H542" s="186"/>
      <c r="I542" s="186"/>
      <c r="J542" s="34"/>
      <c r="K542" s="129"/>
    </row>
    <row r="543" spans="1:13" x14ac:dyDescent="0.25">
      <c r="A543" s="18"/>
      <c r="B543" s="360"/>
      <c r="C543" s="312"/>
      <c r="D543" s="311"/>
      <c r="E543" s="161"/>
      <c r="F543" s="183"/>
      <c r="G543" s="161"/>
      <c r="H543" s="183"/>
      <c r="I543" s="183"/>
      <c r="J543" s="34"/>
      <c r="K543" s="129"/>
    </row>
    <row r="544" spans="1:13" x14ac:dyDescent="0.25">
      <c r="A544" s="18"/>
      <c r="B544" s="360"/>
      <c r="C544" s="312"/>
      <c r="D544" s="311"/>
      <c r="E544" s="161"/>
      <c r="F544" s="186"/>
      <c r="G544" s="186"/>
      <c r="H544" s="186"/>
      <c r="I544" s="186"/>
      <c r="J544" s="34"/>
      <c r="K544" s="129"/>
    </row>
    <row r="545" spans="1:12" x14ac:dyDescent="0.25">
      <c r="A545" s="18"/>
      <c r="B545" s="360"/>
      <c r="C545" s="37"/>
      <c r="D545" s="315"/>
      <c r="E545" s="315"/>
      <c r="F545" s="315"/>
      <c r="G545" s="315"/>
      <c r="H545" s="315"/>
      <c r="I545" s="183"/>
      <c r="J545" s="34"/>
      <c r="K545" s="129"/>
    </row>
    <row r="546" spans="1:12" x14ac:dyDescent="0.25">
      <c r="A546" s="18"/>
      <c r="B546" s="360"/>
      <c r="C546" s="312"/>
      <c r="D546" s="311"/>
      <c r="E546" s="311"/>
      <c r="F546" s="311"/>
      <c r="G546" s="311"/>
      <c r="H546" s="311"/>
      <c r="I546" s="161"/>
      <c r="J546" s="127"/>
      <c r="K546" s="230"/>
    </row>
    <row r="547" spans="1:12" ht="37.5" customHeight="1" x14ac:dyDescent="0.25">
      <c r="A547" s="216"/>
      <c r="B547" s="360"/>
      <c r="C547" s="254"/>
      <c r="D547" s="233"/>
      <c r="E547" s="233"/>
      <c r="F547" s="233"/>
      <c r="G547" s="233"/>
      <c r="H547" s="233"/>
      <c r="I547" s="233"/>
      <c r="J547" s="255"/>
      <c r="K547" s="256"/>
    </row>
    <row r="548" spans="1:12" ht="36" x14ac:dyDescent="0.25">
      <c r="A548" s="216" t="s">
        <v>143</v>
      </c>
      <c r="B548" s="80" t="s">
        <v>144</v>
      </c>
      <c r="C548" s="361"/>
      <c r="D548" s="362"/>
      <c r="E548" s="362"/>
      <c r="F548" s="233"/>
      <c r="G548" s="233"/>
      <c r="H548" s="233"/>
      <c r="I548" s="233"/>
      <c r="J548" s="255"/>
      <c r="K548" s="10"/>
      <c r="L548" s="224"/>
    </row>
    <row r="549" spans="1:12" ht="15.75" customHeight="1" x14ac:dyDescent="0.25">
      <c r="A549" s="216"/>
      <c r="B549" s="257"/>
      <c r="C549" s="344" t="s">
        <v>145</v>
      </c>
      <c r="D549" s="345"/>
      <c r="E549" s="345"/>
      <c r="F549" s="233"/>
      <c r="G549" s="233"/>
      <c r="H549" s="233"/>
      <c r="I549" s="233"/>
      <c r="J549" s="255"/>
      <c r="K549" s="10"/>
      <c r="L549" s="224"/>
    </row>
    <row r="550" spans="1:12" x14ac:dyDescent="0.25">
      <c r="A550" s="216"/>
      <c r="B550" s="257"/>
      <c r="C550" s="234"/>
      <c r="D550" s="255"/>
      <c r="E550" s="255">
        <v>2</v>
      </c>
      <c r="F550" s="233">
        <v>4</v>
      </c>
      <c r="G550" s="233"/>
      <c r="H550" s="233">
        <v>0.9</v>
      </c>
      <c r="I550" s="233">
        <v>4.8</v>
      </c>
      <c r="J550" s="255">
        <f>E550*F550*H550*I550</f>
        <v>34.56</v>
      </c>
      <c r="K550" s="10"/>
      <c r="L550" s="224"/>
    </row>
    <row r="551" spans="1:12" x14ac:dyDescent="0.25">
      <c r="A551" s="216"/>
      <c r="B551" s="257"/>
      <c r="C551" s="344" t="s">
        <v>146</v>
      </c>
      <c r="D551" s="345"/>
      <c r="E551" s="345"/>
      <c r="F551" s="233"/>
      <c r="G551" s="233"/>
      <c r="H551" s="233"/>
      <c r="I551" s="233"/>
      <c r="J551" s="255"/>
      <c r="K551" s="10"/>
      <c r="L551" s="224"/>
    </row>
    <row r="552" spans="1:12" x14ac:dyDescent="0.25">
      <c r="A552" s="216"/>
      <c r="B552" s="257"/>
      <c r="C552" s="234"/>
      <c r="D552" s="255"/>
      <c r="E552" s="255"/>
      <c r="F552" s="233">
        <v>2</v>
      </c>
      <c r="G552" s="233"/>
      <c r="H552" s="233">
        <v>4.8</v>
      </c>
      <c r="I552" s="258">
        <v>0.25</v>
      </c>
      <c r="J552" s="255">
        <f>F552*H552*I552</f>
        <v>2.4</v>
      </c>
      <c r="K552" s="10"/>
      <c r="L552" s="224"/>
    </row>
    <row r="553" spans="1:12" x14ac:dyDescent="0.25">
      <c r="A553" s="216"/>
      <c r="B553" s="257"/>
      <c r="C553" s="234" t="s">
        <v>110</v>
      </c>
      <c r="D553" s="255"/>
      <c r="E553" s="255"/>
      <c r="F553" s="233">
        <v>2</v>
      </c>
      <c r="G553" s="233"/>
      <c r="H553" s="233">
        <v>2.5</v>
      </c>
      <c r="I553" s="258">
        <v>0.25</v>
      </c>
      <c r="J553" s="255">
        <f>F553*H553*I553</f>
        <v>1.25</v>
      </c>
      <c r="K553" s="10"/>
      <c r="L553" s="224"/>
    </row>
    <row r="554" spans="1:12" x14ac:dyDescent="0.25">
      <c r="A554" s="216"/>
      <c r="B554" s="257"/>
      <c r="C554" s="234"/>
      <c r="D554" s="255"/>
      <c r="E554" s="255"/>
      <c r="F554" s="233"/>
      <c r="G554" s="233"/>
      <c r="H554" s="233"/>
      <c r="I554" s="233"/>
      <c r="J554" s="255"/>
      <c r="K554" s="10"/>
      <c r="L554" s="224"/>
    </row>
    <row r="555" spans="1:12" x14ac:dyDescent="0.25">
      <c r="A555" s="216"/>
      <c r="B555" s="257"/>
      <c r="C555" s="234" t="s">
        <v>147</v>
      </c>
      <c r="D555" s="255"/>
      <c r="E555" s="255"/>
      <c r="F555" s="233">
        <v>2</v>
      </c>
      <c r="G555" s="233"/>
      <c r="H555" s="233">
        <v>10.5</v>
      </c>
      <c r="I555" s="258">
        <v>0.2</v>
      </c>
      <c r="J555" s="255">
        <f>F555*H555*I555</f>
        <v>4.2</v>
      </c>
      <c r="K555" s="10"/>
      <c r="L555" s="224"/>
    </row>
    <row r="556" spans="1:12" x14ac:dyDescent="0.25">
      <c r="A556" s="216"/>
      <c r="B556" s="257"/>
      <c r="C556" s="234" t="s">
        <v>110</v>
      </c>
      <c r="D556" s="255"/>
      <c r="E556" s="255"/>
      <c r="F556" s="233">
        <v>2</v>
      </c>
      <c r="G556" s="233"/>
      <c r="H556" s="233">
        <v>3.6</v>
      </c>
      <c r="I556" s="258">
        <v>0.2</v>
      </c>
      <c r="J556" s="255">
        <f>F556*H556*I556</f>
        <v>1.4400000000000002</v>
      </c>
      <c r="K556" s="10"/>
      <c r="L556" s="224"/>
    </row>
    <row r="557" spans="1:12" x14ac:dyDescent="0.25">
      <c r="A557" s="216"/>
      <c r="B557" s="257"/>
      <c r="C557" s="234" t="s">
        <v>148</v>
      </c>
      <c r="D557" s="255"/>
      <c r="E557" s="255"/>
      <c r="F557" s="233">
        <v>35</v>
      </c>
      <c r="G557" s="233"/>
      <c r="H557" s="233">
        <v>0.15</v>
      </c>
      <c r="I557" s="258">
        <v>3.6</v>
      </c>
      <c r="J557" s="255">
        <f>F557*H557*I557</f>
        <v>18.900000000000002</v>
      </c>
      <c r="K557" s="10"/>
      <c r="L557" s="224"/>
    </row>
    <row r="558" spans="1:12" x14ac:dyDescent="0.25">
      <c r="A558" s="216"/>
      <c r="B558" s="257"/>
      <c r="C558" s="234"/>
      <c r="D558" s="255"/>
      <c r="E558" s="255"/>
      <c r="F558" s="233"/>
      <c r="G558" s="233"/>
      <c r="H558" s="233"/>
      <c r="I558" s="258"/>
      <c r="J558" s="255"/>
      <c r="K558" s="10"/>
      <c r="L558" s="224"/>
    </row>
    <row r="559" spans="1:12" x14ac:dyDescent="0.25">
      <c r="A559" s="216"/>
      <c r="B559" s="257"/>
      <c r="C559" s="344" t="s">
        <v>155</v>
      </c>
      <c r="D559" s="345"/>
      <c r="E559" s="345"/>
      <c r="F559" s="233"/>
      <c r="G559" s="233"/>
      <c r="H559" s="233"/>
      <c r="I559" s="233"/>
      <c r="J559" s="255"/>
      <c r="K559" s="10"/>
      <c r="L559" s="224"/>
    </row>
    <row r="560" spans="1:12" x14ac:dyDescent="0.25">
      <c r="A560" s="216"/>
      <c r="B560" s="257"/>
      <c r="C560" s="234"/>
      <c r="D560" s="255"/>
      <c r="E560" s="255"/>
      <c r="F560" s="233">
        <v>2</v>
      </c>
      <c r="G560" s="233"/>
      <c r="H560" s="233">
        <v>10.5</v>
      </c>
      <c r="I560" s="233">
        <v>0.2</v>
      </c>
      <c r="J560" s="255">
        <f>F560*H560*I560</f>
        <v>4.2</v>
      </c>
      <c r="K560" s="10"/>
      <c r="L560" s="224"/>
    </row>
    <row r="561" spans="1:12" x14ac:dyDescent="0.25">
      <c r="A561" s="216"/>
      <c r="B561" s="257"/>
      <c r="C561" s="234"/>
      <c r="D561" s="255"/>
      <c r="E561" s="255"/>
      <c r="F561" s="233">
        <v>2</v>
      </c>
      <c r="G561" s="233"/>
      <c r="H561" s="233">
        <v>10.5</v>
      </c>
      <c r="I561" s="233">
        <v>0.15</v>
      </c>
      <c r="J561" s="255">
        <f>F561*H561*I561</f>
        <v>3.15</v>
      </c>
      <c r="K561" s="10"/>
      <c r="L561" s="224"/>
    </row>
    <row r="562" spans="1:12" x14ac:dyDescent="0.25">
      <c r="A562" s="216"/>
      <c r="B562" s="257"/>
      <c r="C562" s="234"/>
      <c r="D562" s="255"/>
      <c r="E562" s="255"/>
      <c r="F562" s="233"/>
      <c r="G562" s="233"/>
      <c r="H562" s="233"/>
      <c r="I562" s="258"/>
      <c r="J562" s="255"/>
      <c r="K562" s="10"/>
      <c r="L562" s="224"/>
    </row>
    <row r="563" spans="1:12" x14ac:dyDescent="0.25">
      <c r="A563" s="216"/>
      <c r="B563" s="257"/>
      <c r="C563" s="234"/>
      <c r="D563" s="255"/>
      <c r="E563" s="255"/>
      <c r="F563" s="233"/>
      <c r="G563" s="233"/>
      <c r="H563" s="233"/>
      <c r="I563" s="258"/>
      <c r="J563" s="255"/>
      <c r="K563" s="10"/>
      <c r="L563" s="224"/>
    </row>
    <row r="564" spans="1:12" ht="18" customHeight="1" x14ac:dyDescent="0.25">
      <c r="A564" s="216"/>
      <c r="B564" s="257"/>
      <c r="C564" s="344" t="s">
        <v>108</v>
      </c>
      <c r="D564" s="345"/>
      <c r="E564" s="345"/>
      <c r="F564" s="233"/>
      <c r="G564" s="233"/>
      <c r="H564" s="233"/>
      <c r="I564" s="233"/>
      <c r="J564" s="255"/>
      <c r="K564" s="10"/>
      <c r="L564" s="224"/>
    </row>
    <row r="565" spans="1:12" x14ac:dyDescent="0.25">
      <c r="A565" s="216"/>
      <c r="B565" s="257"/>
      <c r="C565" s="234"/>
      <c r="D565" s="255"/>
      <c r="E565" s="255">
        <v>2</v>
      </c>
      <c r="F565" s="233">
        <v>2</v>
      </c>
      <c r="G565" s="233"/>
      <c r="H565" s="233">
        <v>4.8</v>
      </c>
      <c r="I565" s="233">
        <v>0.4</v>
      </c>
      <c r="J565" s="255">
        <f>E565*F565*H565*I565</f>
        <v>7.68</v>
      </c>
      <c r="K565" s="10"/>
      <c r="L565" s="224"/>
    </row>
    <row r="566" spans="1:12" x14ac:dyDescent="0.25">
      <c r="A566" s="216"/>
      <c r="B566" s="257"/>
      <c r="C566" s="234" t="s">
        <v>149</v>
      </c>
      <c r="D566" s="255"/>
      <c r="E566" s="255">
        <v>2</v>
      </c>
      <c r="F566" s="233">
        <v>2</v>
      </c>
      <c r="G566" s="233"/>
      <c r="H566" s="233">
        <v>0.4</v>
      </c>
      <c r="I566" s="233">
        <v>0.25</v>
      </c>
      <c r="J566" s="255">
        <f>E566*F566*H566*I566</f>
        <v>0.4</v>
      </c>
      <c r="K566" s="10"/>
      <c r="L566" s="224"/>
    </row>
    <row r="567" spans="1:12" x14ac:dyDescent="0.25">
      <c r="A567" s="216"/>
      <c r="B567" s="257"/>
      <c r="F567" s="233"/>
      <c r="G567" s="233"/>
      <c r="H567" s="233"/>
      <c r="I567" s="233"/>
      <c r="J567" s="255"/>
      <c r="K567" s="10"/>
      <c r="L567" s="224"/>
    </row>
    <row r="568" spans="1:12" x14ac:dyDescent="0.25">
      <c r="A568" s="216"/>
      <c r="B568" s="257"/>
      <c r="C568" s="344" t="s">
        <v>156</v>
      </c>
      <c r="D568" s="345"/>
      <c r="E568" s="345"/>
      <c r="F568" s="233">
        <v>2</v>
      </c>
      <c r="G568" s="233"/>
      <c r="H568" s="233">
        <v>0.5</v>
      </c>
      <c r="I568" s="233">
        <v>4.8</v>
      </c>
      <c r="J568" s="255">
        <f>F568*H568*I568</f>
        <v>4.8</v>
      </c>
      <c r="K568" s="10"/>
      <c r="L568" s="224"/>
    </row>
    <row r="569" spans="1:12" x14ac:dyDescent="0.25">
      <c r="A569" s="216"/>
      <c r="B569" s="257"/>
      <c r="C569" s="234" t="s">
        <v>110</v>
      </c>
      <c r="D569" s="255"/>
      <c r="E569" s="255">
        <v>2</v>
      </c>
      <c r="F569" s="233">
        <v>2</v>
      </c>
      <c r="G569" s="233"/>
      <c r="H569" s="233">
        <v>0.5</v>
      </c>
      <c r="I569" s="233">
        <v>0.2</v>
      </c>
      <c r="J569" s="255">
        <f>E569*F569*H569*I569</f>
        <v>0.4</v>
      </c>
      <c r="K569" s="10"/>
      <c r="L569" s="224"/>
    </row>
    <row r="570" spans="1:12" x14ac:dyDescent="0.25">
      <c r="A570" s="216"/>
      <c r="B570" s="257"/>
      <c r="C570" s="234" t="s">
        <v>149</v>
      </c>
      <c r="D570" s="255"/>
      <c r="E570" s="255"/>
      <c r="F570" s="233">
        <v>2</v>
      </c>
      <c r="G570" s="233"/>
      <c r="H570" s="233">
        <v>4.8</v>
      </c>
      <c r="I570" s="233">
        <v>0.2</v>
      </c>
      <c r="J570" s="255">
        <f>F570*H570*I570</f>
        <v>1.92</v>
      </c>
      <c r="K570" s="10"/>
      <c r="L570" s="224"/>
    </row>
    <row r="571" spans="1:12" x14ac:dyDescent="0.25">
      <c r="A571" s="216"/>
      <c r="B571" s="257"/>
      <c r="C571" s="234"/>
      <c r="D571" s="255"/>
      <c r="E571" s="255"/>
      <c r="F571" s="233"/>
      <c r="G571" s="233"/>
      <c r="H571" s="233"/>
      <c r="I571" s="233"/>
      <c r="J571" s="255"/>
      <c r="K571" s="10"/>
      <c r="L571" s="224"/>
    </row>
    <row r="572" spans="1:12" x14ac:dyDescent="0.25">
      <c r="A572" s="216"/>
      <c r="B572" s="257"/>
      <c r="C572" s="234"/>
      <c r="D572" s="255"/>
      <c r="E572" s="255"/>
      <c r="F572" s="233"/>
      <c r="G572" s="233"/>
      <c r="H572" s="233"/>
      <c r="I572" s="233"/>
      <c r="J572" s="255">
        <f>SUM(J550:J571)</f>
        <v>85.300000000000011</v>
      </c>
      <c r="K572" s="10"/>
      <c r="L572" s="224"/>
    </row>
    <row r="573" spans="1:12" x14ac:dyDescent="0.25">
      <c r="A573" s="216"/>
      <c r="B573" s="257"/>
      <c r="C573" s="234"/>
      <c r="D573" s="255"/>
      <c r="E573" s="185">
        <v>4</v>
      </c>
      <c r="F573" s="315" t="s">
        <v>111</v>
      </c>
      <c r="G573" s="315"/>
      <c r="H573" s="186"/>
      <c r="I573" s="186" t="s">
        <v>21</v>
      </c>
      <c r="J573" s="161">
        <f>J572*E573</f>
        <v>341.20000000000005</v>
      </c>
      <c r="K573" s="220" t="s">
        <v>46</v>
      </c>
      <c r="L573" s="224"/>
    </row>
    <row r="574" spans="1:12" x14ac:dyDescent="0.25">
      <c r="A574" s="216"/>
      <c r="B574" s="257"/>
      <c r="C574" s="234"/>
      <c r="D574" s="255"/>
      <c r="E574" s="255"/>
      <c r="F574" s="233"/>
      <c r="G574" s="233"/>
      <c r="H574" s="233"/>
      <c r="I574" s="233"/>
      <c r="J574" s="255"/>
      <c r="K574" s="10"/>
      <c r="L574" s="224"/>
    </row>
    <row r="575" spans="1:12" ht="25.5" customHeight="1" x14ac:dyDescent="0.25">
      <c r="A575" s="216"/>
      <c r="B575" s="257"/>
      <c r="C575" s="344" t="s">
        <v>112</v>
      </c>
      <c r="D575" s="345"/>
      <c r="E575" s="345"/>
      <c r="F575" s="233"/>
      <c r="G575" s="233"/>
      <c r="H575" s="233"/>
      <c r="I575" s="233"/>
      <c r="J575" s="255"/>
      <c r="K575" s="10"/>
      <c r="L575" s="224"/>
    </row>
    <row r="576" spans="1:12" x14ac:dyDescent="0.25">
      <c r="A576" s="216"/>
      <c r="B576" s="257"/>
      <c r="C576" s="234" t="s">
        <v>134</v>
      </c>
      <c r="D576" s="255"/>
      <c r="E576" s="255"/>
      <c r="F576" s="233">
        <v>2</v>
      </c>
      <c r="G576" s="233"/>
      <c r="H576" s="233">
        <v>1.45</v>
      </c>
      <c r="I576" s="259">
        <v>0.375</v>
      </c>
      <c r="J576" s="255">
        <f>F576*H576*I576</f>
        <v>1.0874999999999999</v>
      </c>
      <c r="K576" s="10"/>
      <c r="L576" s="224"/>
    </row>
    <row r="577" spans="1:12" x14ac:dyDescent="0.25">
      <c r="A577" s="216"/>
      <c r="B577" s="257"/>
      <c r="C577" s="234" t="s">
        <v>110</v>
      </c>
      <c r="D577" s="255"/>
      <c r="E577" s="255"/>
      <c r="F577" s="233">
        <v>2</v>
      </c>
      <c r="G577" s="233"/>
      <c r="H577" s="233">
        <v>0.8</v>
      </c>
      <c r="I577" s="259">
        <v>0.375</v>
      </c>
      <c r="J577" s="255">
        <f t="shared" ref="J577:J578" si="1">F577*H577*I577</f>
        <v>0.60000000000000009</v>
      </c>
      <c r="K577" s="10"/>
      <c r="L577" s="224"/>
    </row>
    <row r="578" spans="1:12" x14ac:dyDescent="0.25">
      <c r="A578" s="216"/>
      <c r="B578" s="257"/>
      <c r="C578" s="234" t="s">
        <v>152</v>
      </c>
      <c r="D578" s="255"/>
      <c r="E578" s="255"/>
      <c r="F578" s="233">
        <v>2</v>
      </c>
      <c r="G578" s="233"/>
      <c r="H578" s="233">
        <v>1.85</v>
      </c>
      <c r="I578" s="259">
        <v>1</v>
      </c>
      <c r="J578" s="255">
        <f t="shared" si="1"/>
        <v>3.7</v>
      </c>
      <c r="K578" s="10"/>
      <c r="L578" s="224"/>
    </row>
    <row r="579" spans="1:12" x14ac:dyDescent="0.25">
      <c r="A579" s="216"/>
      <c r="B579" s="257"/>
      <c r="C579" s="234" t="s">
        <v>153</v>
      </c>
      <c r="D579" s="255"/>
      <c r="E579" s="255"/>
      <c r="F579" s="233">
        <v>2</v>
      </c>
      <c r="G579" s="233"/>
      <c r="H579" s="233">
        <v>0.6</v>
      </c>
      <c r="I579" s="259">
        <v>1.1000000000000001</v>
      </c>
      <c r="J579" s="255">
        <f t="shared" ref="J579" si="2">F579*H579*I579</f>
        <v>1.32</v>
      </c>
      <c r="K579" s="10"/>
      <c r="L579" s="224"/>
    </row>
    <row r="580" spans="1:12" x14ac:dyDescent="0.25">
      <c r="A580" s="216"/>
      <c r="B580" s="257"/>
      <c r="C580" s="234" t="s">
        <v>104</v>
      </c>
      <c r="D580" s="255"/>
      <c r="E580" s="255"/>
      <c r="F580" s="233">
        <v>2</v>
      </c>
      <c r="G580" s="233"/>
      <c r="H580" s="233">
        <v>0.6</v>
      </c>
      <c r="I580" s="259">
        <v>0.2</v>
      </c>
      <c r="J580" s="255">
        <f t="shared" ref="J580" si="3">F580*H580*I580</f>
        <v>0.24</v>
      </c>
      <c r="K580" s="10"/>
      <c r="L580" s="224"/>
    </row>
    <row r="581" spans="1:12" x14ac:dyDescent="0.25">
      <c r="A581" s="216"/>
      <c r="B581" s="257"/>
      <c r="C581" s="234"/>
      <c r="D581" s="255"/>
      <c r="E581" s="255"/>
      <c r="F581" s="233"/>
      <c r="G581" s="233"/>
      <c r="H581" s="233"/>
      <c r="I581" s="233"/>
      <c r="J581" s="255">
        <f>SUM(J576:J580)</f>
        <v>6.9475000000000007</v>
      </c>
      <c r="K581" s="10" t="s">
        <v>46</v>
      </c>
      <c r="L581" s="224"/>
    </row>
    <row r="582" spans="1:12" x14ac:dyDescent="0.25">
      <c r="A582" s="216"/>
      <c r="B582" s="257"/>
      <c r="C582" s="234"/>
      <c r="D582" s="255"/>
      <c r="E582" s="185">
        <v>4</v>
      </c>
      <c r="F582" s="346" t="s">
        <v>116</v>
      </c>
      <c r="G582" s="346"/>
      <c r="H582" s="346"/>
      <c r="I582" s="186" t="s">
        <v>21</v>
      </c>
      <c r="J582" s="161">
        <f>J581*E582</f>
        <v>27.790000000000003</v>
      </c>
      <c r="K582" s="220" t="s">
        <v>46</v>
      </c>
      <c r="L582" s="224"/>
    </row>
    <row r="583" spans="1:12" x14ac:dyDescent="0.25">
      <c r="A583" s="216"/>
      <c r="B583" s="257"/>
      <c r="C583" s="234"/>
      <c r="D583" s="255"/>
      <c r="E583" s="255"/>
      <c r="F583" s="233"/>
      <c r="G583" s="233"/>
      <c r="H583" s="233"/>
      <c r="I583" s="233"/>
      <c r="J583" s="255"/>
      <c r="K583" s="10"/>
      <c r="L583" s="224"/>
    </row>
    <row r="584" spans="1:12" x14ac:dyDescent="0.25">
      <c r="A584" s="216"/>
      <c r="B584" s="257"/>
      <c r="C584" s="234"/>
      <c r="D584" s="255"/>
      <c r="E584" s="255"/>
      <c r="F584" s="233"/>
      <c r="G584" s="233"/>
      <c r="H584" s="233" t="s">
        <v>154</v>
      </c>
      <c r="I584" s="233" t="s">
        <v>21</v>
      </c>
      <c r="J584" s="260">
        <f>J573+J582</f>
        <v>368.99000000000007</v>
      </c>
      <c r="K584" s="10" t="s">
        <v>46</v>
      </c>
      <c r="L584" s="224"/>
    </row>
    <row r="585" spans="1:12" x14ac:dyDescent="0.25">
      <c r="A585" s="216"/>
      <c r="B585" s="257"/>
      <c r="C585" s="261"/>
      <c r="D585" s="262"/>
      <c r="E585" s="262"/>
      <c r="F585" s="263"/>
      <c r="G585" s="263"/>
      <c r="H585" s="263"/>
      <c r="I585" s="263"/>
      <c r="J585" s="264"/>
      <c r="K585" s="265"/>
      <c r="L585" s="224"/>
    </row>
    <row r="586" spans="1:12" x14ac:dyDescent="0.25">
      <c r="A586" s="358" t="s">
        <v>213</v>
      </c>
      <c r="B586" s="359" t="s">
        <v>162</v>
      </c>
      <c r="C586" s="234"/>
      <c r="D586" s="255"/>
      <c r="E586" s="255"/>
      <c r="F586" s="233"/>
      <c r="G586" s="233"/>
      <c r="H586" s="233"/>
      <c r="I586" s="233"/>
      <c r="J586" s="260"/>
      <c r="K586" s="10"/>
      <c r="L586" s="224"/>
    </row>
    <row r="587" spans="1:12" x14ac:dyDescent="0.25">
      <c r="A587" s="356"/>
      <c r="B587" s="360"/>
      <c r="C587" s="234"/>
      <c r="D587" s="255"/>
      <c r="E587" s="255"/>
      <c r="F587" s="233"/>
      <c r="G587" s="233"/>
      <c r="H587" s="233"/>
      <c r="I587" s="233"/>
      <c r="J587" s="260"/>
      <c r="K587" s="10"/>
      <c r="L587" s="224"/>
    </row>
    <row r="588" spans="1:12" x14ac:dyDescent="0.25">
      <c r="A588" s="18"/>
      <c r="B588" s="360"/>
      <c r="C588" s="234"/>
      <c r="D588" s="255"/>
      <c r="E588" s="255"/>
      <c r="F588" s="233"/>
      <c r="G588" s="233"/>
      <c r="H588" s="233"/>
      <c r="I588" s="233"/>
      <c r="J588" s="260"/>
      <c r="K588" s="10"/>
      <c r="L588" s="224"/>
    </row>
    <row r="589" spans="1:12" x14ac:dyDescent="0.25">
      <c r="A589" s="18"/>
      <c r="B589" s="360"/>
      <c r="C589" s="234"/>
      <c r="D589" s="255"/>
      <c r="E589" s="255"/>
      <c r="F589" s="233"/>
      <c r="G589" s="233"/>
      <c r="H589" s="233"/>
      <c r="I589" s="233"/>
      <c r="J589" s="260"/>
      <c r="K589" s="10"/>
      <c r="L589" s="224"/>
    </row>
    <row r="590" spans="1:12" x14ac:dyDescent="0.25">
      <c r="A590" s="18"/>
      <c r="B590" s="360"/>
      <c r="C590" s="234"/>
      <c r="D590" s="255"/>
      <c r="E590" s="255"/>
      <c r="F590" s="233"/>
      <c r="G590" s="233"/>
      <c r="H590" s="233"/>
      <c r="I590" s="233"/>
      <c r="J590" s="260"/>
      <c r="K590" s="10"/>
      <c r="L590" s="224"/>
    </row>
    <row r="591" spans="1:12" x14ac:dyDescent="0.25">
      <c r="A591" s="18"/>
      <c r="B591" s="360"/>
      <c r="C591" s="234"/>
      <c r="D591" s="255"/>
      <c r="E591" s="255"/>
      <c r="F591" s="233"/>
      <c r="G591" s="233"/>
      <c r="H591" s="233"/>
      <c r="I591" s="233"/>
      <c r="J591" s="260"/>
      <c r="K591" s="10"/>
      <c r="L591" s="224"/>
    </row>
    <row r="592" spans="1:12" x14ac:dyDescent="0.25">
      <c r="A592" s="18"/>
      <c r="B592" s="360"/>
      <c r="C592" s="234"/>
      <c r="D592" s="255"/>
      <c r="E592" s="255"/>
      <c r="F592" s="233"/>
      <c r="G592" s="233"/>
      <c r="H592" s="233"/>
      <c r="I592" s="233"/>
      <c r="J592" s="260"/>
      <c r="K592" s="10"/>
      <c r="L592" s="224"/>
    </row>
    <row r="593" spans="1:16" x14ac:dyDescent="0.25">
      <c r="A593" s="18"/>
      <c r="B593" s="360"/>
      <c r="C593" s="234"/>
      <c r="D593" s="255"/>
      <c r="E593" s="255"/>
      <c r="F593" s="233"/>
      <c r="G593" s="233"/>
      <c r="H593" s="233"/>
      <c r="I593" s="233"/>
      <c r="J593" s="260"/>
      <c r="K593" s="10"/>
      <c r="L593" s="224"/>
    </row>
    <row r="594" spans="1:16" x14ac:dyDescent="0.25">
      <c r="A594" s="18"/>
      <c r="B594" s="360"/>
      <c r="C594" s="234"/>
      <c r="D594" s="255"/>
      <c r="E594" s="255"/>
      <c r="F594" s="233"/>
      <c r="G594" s="233"/>
      <c r="H594" s="233"/>
      <c r="I594" s="233"/>
      <c r="J594" s="260"/>
      <c r="K594" s="10"/>
      <c r="L594" s="224"/>
    </row>
    <row r="595" spans="1:16" x14ac:dyDescent="0.25">
      <c r="A595" s="18"/>
      <c r="B595" s="360"/>
      <c r="C595" s="234"/>
      <c r="D595" s="255"/>
      <c r="E595" s="255"/>
      <c r="F595" s="233"/>
      <c r="G595" s="233"/>
      <c r="H595" s="233"/>
      <c r="I595" s="233"/>
      <c r="J595" s="260"/>
      <c r="K595" s="10"/>
      <c r="L595" s="224"/>
    </row>
    <row r="596" spans="1:16" ht="165" customHeight="1" x14ac:dyDescent="0.25">
      <c r="A596" s="216"/>
      <c r="B596" s="360"/>
      <c r="C596" s="234"/>
      <c r="D596" s="255"/>
      <c r="E596" s="255"/>
      <c r="F596" s="233"/>
      <c r="G596" s="233"/>
      <c r="H596" s="233"/>
      <c r="I596" s="233"/>
      <c r="J596" s="260"/>
      <c r="K596" s="10"/>
      <c r="L596" s="224"/>
    </row>
    <row r="597" spans="1:16" ht="72" customHeight="1" x14ac:dyDescent="0.25">
      <c r="A597" s="216" t="s">
        <v>161</v>
      </c>
      <c r="B597" s="80" t="s">
        <v>163</v>
      </c>
      <c r="C597" s="234"/>
      <c r="D597" s="255"/>
      <c r="E597" s="255"/>
      <c r="F597" s="233"/>
      <c r="G597" s="233"/>
      <c r="H597" s="233"/>
      <c r="I597" s="233"/>
      <c r="J597" s="260"/>
      <c r="K597" s="256"/>
      <c r="L597" s="224"/>
    </row>
    <row r="598" spans="1:16" ht="24.75" customHeight="1" x14ac:dyDescent="0.25">
      <c r="A598" s="216"/>
      <c r="B598" s="80"/>
      <c r="C598" s="234" t="s">
        <v>305</v>
      </c>
      <c r="D598" s="255"/>
      <c r="E598" s="255"/>
      <c r="F598" s="233"/>
      <c r="G598" s="233"/>
      <c r="H598" s="233"/>
      <c r="I598" s="233"/>
      <c r="J598" s="260"/>
      <c r="K598" s="256"/>
      <c r="L598" s="224"/>
    </row>
    <row r="599" spans="1:16" ht="25.5" customHeight="1" x14ac:dyDescent="0.25">
      <c r="A599" s="216"/>
      <c r="B599" s="80"/>
      <c r="C599" s="234" t="s">
        <v>268</v>
      </c>
      <c r="D599" s="255"/>
      <c r="E599" s="183">
        <v>2580</v>
      </c>
      <c r="G599" s="183" t="s">
        <v>16</v>
      </c>
      <c r="H599" s="183">
        <v>3</v>
      </c>
      <c r="I599" s="161" t="s">
        <v>21</v>
      </c>
      <c r="J599" s="34">
        <f>E599*H599</f>
        <v>7740</v>
      </c>
      <c r="K599" s="256" t="s">
        <v>46</v>
      </c>
      <c r="L599" s="224"/>
    </row>
    <row r="600" spans="1:16" ht="25.5" customHeight="1" x14ac:dyDescent="0.25">
      <c r="A600" s="216"/>
      <c r="B600" s="80"/>
      <c r="C600" s="326" t="s">
        <v>220</v>
      </c>
      <c r="D600" s="327"/>
      <c r="E600" s="327"/>
      <c r="F600" s="327"/>
      <c r="G600" s="327"/>
      <c r="H600" s="327"/>
      <c r="I600" s="161"/>
      <c r="J600" s="34"/>
      <c r="K600" s="256"/>
      <c r="L600" s="224"/>
    </row>
    <row r="601" spans="1:16" ht="21.75" customHeight="1" x14ac:dyDescent="0.25">
      <c r="A601" s="216"/>
      <c r="B601" s="80"/>
      <c r="C601" s="326" t="s">
        <v>219</v>
      </c>
      <c r="D601" s="327"/>
      <c r="E601" s="327"/>
      <c r="F601" s="327"/>
      <c r="G601" s="233"/>
      <c r="H601" s="233"/>
      <c r="I601" s="233"/>
      <c r="J601" s="266">
        <f>J599/0.5</f>
        <v>15480</v>
      </c>
      <c r="K601" s="256"/>
      <c r="L601" s="224"/>
      <c r="P601" s="2">
        <f>1.5*1060</f>
        <v>1590</v>
      </c>
    </row>
    <row r="602" spans="1:16" ht="21.75" customHeight="1" x14ac:dyDescent="0.25">
      <c r="A602" s="216"/>
      <c r="B602" s="80"/>
      <c r="C602" s="344" t="s">
        <v>221</v>
      </c>
      <c r="D602" s="345"/>
      <c r="E602" s="345"/>
      <c r="F602" s="227"/>
      <c r="G602" s="233"/>
      <c r="H602" s="233"/>
      <c r="I602" s="233"/>
      <c r="J602" s="266">
        <f>J601*2</f>
        <v>30960</v>
      </c>
      <c r="K602" s="256" t="s">
        <v>18</v>
      </c>
      <c r="L602" s="224"/>
    </row>
    <row r="603" spans="1:16" x14ac:dyDescent="0.25">
      <c r="A603" s="267"/>
      <c r="B603" s="268"/>
      <c r="C603" s="261"/>
      <c r="D603" s="262"/>
      <c r="E603" s="262"/>
      <c r="F603" s="263"/>
      <c r="G603" s="263"/>
      <c r="H603" s="263"/>
      <c r="I603" s="263"/>
      <c r="J603" s="269"/>
      <c r="K603" s="265"/>
      <c r="L603" s="224"/>
    </row>
    <row r="604" spans="1:16" x14ac:dyDescent="0.25">
      <c r="A604" s="252">
        <v>23</v>
      </c>
      <c r="B604" s="354" t="s">
        <v>262</v>
      </c>
      <c r="C604" s="318" t="s">
        <v>286</v>
      </c>
      <c r="D604" s="319"/>
      <c r="E604" s="319"/>
      <c r="F604" s="319"/>
      <c r="G604" s="319"/>
      <c r="H604" s="319"/>
      <c r="I604" s="320"/>
      <c r="J604" s="112"/>
      <c r="K604" s="220"/>
      <c r="L604" s="224"/>
    </row>
    <row r="605" spans="1:16" x14ac:dyDescent="0.25">
      <c r="A605" s="252" t="s">
        <v>261</v>
      </c>
      <c r="B605" s="355"/>
      <c r="C605" s="37"/>
      <c r="D605" s="186"/>
      <c r="E605" s="161" t="s">
        <v>154</v>
      </c>
      <c r="F605" s="186"/>
      <c r="G605" s="186"/>
      <c r="H605" s="186"/>
      <c r="I605" s="186"/>
      <c r="J605" s="112">
        <v>1577.5</v>
      </c>
      <c r="K605" s="220" t="s">
        <v>3</v>
      </c>
      <c r="L605" s="224"/>
    </row>
    <row r="606" spans="1:16" x14ac:dyDescent="0.25">
      <c r="A606" s="252"/>
      <c r="B606" s="355"/>
      <c r="C606" s="318" t="s">
        <v>287</v>
      </c>
      <c r="D606" s="319"/>
      <c r="E606" s="319"/>
      <c r="F606" s="319"/>
      <c r="G606" s="319"/>
      <c r="H606" s="319"/>
      <c r="I606" s="320"/>
      <c r="J606" s="112"/>
      <c r="K606" s="220"/>
      <c r="L606" s="224"/>
    </row>
    <row r="607" spans="1:16" x14ac:dyDescent="0.25">
      <c r="A607" s="252"/>
      <c r="B607" s="355"/>
      <c r="C607" s="196"/>
      <c r="D607" s="197"/>
      <c r="E607" s="197" t="s">
        <v>154</v>
      </c>
      <c r="F607" s="197"/>
      <c r="G607" s="197"/>
      <c r="H607" s="197"/>
      <c r="I607" s="198"/>
      <c r="J607" s="112">
        <v>1511.25</v>
      </c>
      <c r="K607" s="220" t="s">
        <v>3</v>
      </c>
      <c r="L607" s="224"/>
    </row>
    <row r="608" spans="1:16" x14ac:dyDescent="0.25">
      <c r="A608" s="252"/>
      <c r="B608" s="355"/>
      <c r="C608" s="37"/>
      <c r="D608" s="186"/>
      <c r="E608" s="161"/>
      <c r="F608" s="186"/>
      <c r="G608" s="186"/>
      <c r="H608" s="186"/>
      <c r="I608" s="186"/>
      <c r="J608" s="112"/>
      <c r="K608" s="220"/>
      <c r="L608" s="224"/>
    </row>
    <row r="609" spans="1:12" x14ac:dyDescent="0.25">
      <c r="A609" s="252"/>
      <c r="B609" s="355"/>
      <c r="C609" s="37"/>
      <c r="D609" s="186"/>
      <c r="E609" s="211" t="s">
        <v>154</v>
      </c>
      <c r="F609" s="212"/>
      <c r="G609" s="212"/>
      <c r="H609" s="212"/>
      <c r="I609" s="212"/>
      <c r="J609" s="202">
        <f>SUM(J605:J607)</f>
        <v>3088.75</v>
      </c>
      <c r="K609" s="247" t="s">
        <v>3</v>
      </c>
      <c r="L609" s="224"/>
    </row>
    <row r="610" spans="1:12" x14ac:dyDescent="0.25">
      <c r="A610" s="216"/>
      <c r="B610" s="355"/>
      <c r="C610" s="318"/>
      <c r="D610" s="319"/>
      <c r="E610" s="319"/>
      <c r="F610" s="319"/>
      <c r="G610" s="319"/>
      <c r="H610" s="319"/>
      <c r="I610" s="320"/>
      <c r="J610" s="112"/>
      <c r="K610" s="220"/>
      <c r="L610" s="224"/>
    </row>
    <row r="611" spans="1:12" ht="132" x14ac:dyDescent="0.25">
      <c r="A611" s="358" t="s">
        <v>283</v>
      </c>
      <c r="B611" s="132" t="s">
        <v>260</v>
      </c>
      <c r="C611" s="234"/>
      <c r="D611" s="255"/>
      <c r="E611" s="255"/>
      <c r="F611" s="233"/>
      <c r="G611" s="233"/>
      <c r="H611" s="233"/>
      <c r="I611" s="233"/>
      <c r="J611" s="260"/>
      <c r="K611" s="10"/>
      <c r="L611" s="224"/>
    </row>
    <row r="612" spans="1:12" x14ac:dyDescent="0.25">
      <c r="A612" s="356"/>
      <c r="B612" s="18"/>
      <c r="C612" s="234"/>
      <c r="D612" s="255"/>
      <c r="E612" s="255"/>
      <c r="F612" s="233"/>
      <c r="G612" s="233"/>
      <c r="H612" s="233"/>
      <c r="I612" s="233"/>
      <c r="J612" s="260"/>
      <c r="K612" s="10"/>
      <c r="L612" s="224"/>
    </row>
    <row r="613" spans="1:12" x14ac:dyDescent="0.25">
      <c r="A613" s="70" t="s">
        <v>222</v>
      </c>
      <c r="B613" s="70" t="s">
        <v>223</v>
      </c>
      <c r="C613" s="270">
        <v>2580</v>
      </c>
      <c r="D613" s="271"/>
      <c r="E613" s="271">
        <v>0.5</v>
      </c>
      <c r="F613" s="271">
        <v>0.2</v>
      </c>
      <c r="G613" s="271"/>
      <c r="H613" s="271">
        <v>0.15</v>
      </c>
      <c r="I613" s="263" t="s">
        <v>21</v>
      </c>
      <c r="J613" s="272">
        <f>C613*E613*F613*H613</f>
        <v>38.699999999999996</v>
      </c>
      <c r="K613" s="271" t="s">
        <v>3</v>
      </c>
      <c r="L613" s="224"/>
    </row>
    <row r="614" spans="1:12" x14ac:dyDescent="0.25">
      <c r="A614" s="10"/>
      <c r="B614" s="232"/>
      <c r="C614" s="227"/>
      <c r="D614" s="255"/>
      <c r="E614" s="255"/>
      <c r="F614" s="233"/>
      <c r="G614" s="233"/>
      <c r="H614" s="233"/>
      <c r="I614" s="233"/>
      <c r="J614" s="255"/>
      <c r="K614" s="10"/>
    </row>
    <row r="615" spans="1:12" x14ac:dyDescent="0.25">
      <c r="A615" s="10"/>
      <c r="B615" s="232"/>
      <c r="C615" s="227"/>
      <c r="D615" s="255"/>
      <c r="E615" s="255"/>
      <c r="F615" s="233"/>
      <c r="G615" s="233"/>
      <c r="H615" s="233"/>
      <c r="I615" s="233"/>
      <c r="J615" s="255"/>
      <c r="K615" s="10"/>
    </row>
    <row r="616" spans="1:12" x14ac:dyDescent="0.25">
      <c r="A616" s="10"/>
      <c r="B616" s="232"/>
      <c r="C616" s="227"/>
      <c r="D616" s="255"/>
      <c r="E616" s="255"/>
      <c r="F616" s="233"/>
      <c r="G616" s="233"/>
      <c r="H616" s="233"/>
      <c r="I616" s="233"/>
      <c r="J616" s="255"/>
      <c r="K616" s="10"/>
    </row>
    <row r="617" spans="1:12" x14ac:dyDescent="0.25">
      <c r="A617" s="10"/>
      <c r="B617" s="232"/>
      <c r="C617" s="227"/>
      <c r="D617" s="255"/>
      <c r="E617" s="255"/>
      <c r="F617" s="233"/>
      <c r="G617" s="233"/>
      <c r="H617" s="233"/>
      <c r="I617" s="233"/>
      <c r="J617" s="255"/>
      <c r="K617" s="10"/>
    </row>
    <row r="618" spans="1:12" x14ac:dyDescent="0.25">
      <c r="A618" s="10"/>
      <c r="B618" s="232"/>
      <c r="C618" s="227"/>
      <c r="D618" s="255"/>
      <c r="E618" s="255"/>
      <c r="F618" s="233"/>
      <c r="G618" s="233"/>
      <c r="H618" s="233"/>
      <c r="I618" s="233"/>
      <c r="J618" s="255"/>
      <c r="K618" s="10"/>
    </row>
    <row r="619" spans="1:12" x14ac:dyDescent="0.25">
      <c r="A619" s="10"/>
      <c r="B619" s="232"/>
      <c r="C619" s="227"/>
      <c r="D619" s="255"/>
      <c r="E619" s="255"/>
      <c r="F619" s="233"/>
      <c r="G619" s="233"/>
      <c r="H619" s="233"/>
      <c r="I619" s="233"/>
      <c r="J619" s="255"/>
      <c r="K619" s="10"/>
    </row>
    <row r="620" spans="1:12" x14ac:dyDescent="0.25">
      <c r="A620" s="10"/>
      <c r="B620" s="232"/>
      <c r="C620" s="227"/>
      <c r="D620" s="255"/>
      <c r="E620" s="255"/>
      <c r="F620" s="233"/>
      <c r="G620" s="233"/>
      <c r="H620" s="233"/>
      <c r="I620" s="233"/>
      <c r="J620" s="255"/>
      <c r="K620" s="10"/>
    </row>
    <row r="621" spans="1:12" x14ac:dyDescent="0.25">
      <c r="A621" s="10"/>
      <c r="B621" s="232"/>
      <c r="C621" s="227"/>
      <c r="D621" s="255"/>
      <c r="E621" s="255"/>
      <c r="F621" s="233"/>
      <c r="G621" s="233"/>
      <c r="H621" s="233"/>
      <c r="I621" s="233"/>
      <c r="J621" s="255"/>
      <c r="K621" s="10"/>
    </row>
    <row r="622" spans="1:12" x14ac:dyDescent="0.25">
      <c r="A622" s="10"/>
      <c r="B622" s="232"/>
      <c r="C622" s="227"/>
      <c r="D622" s="255"/>
      <c r="E622" s="255"/>
      <c r="F622" s="233"/>
      <c r="G622" s="233"/>
      <c r="H622" s="233"/>
      <c r="I622" s="233"/>
      <c r="J622" s="255"/>
      <c r="K622" s="10"/>
    </row>
    <row r="623" spans="1:12" x14ac:dyDescent="0.25">
      <c r="A623" s="10"/>
      <c r="B623" s="232"/>
      <c r="C623" s="227"/>
      <c r="D623" s="255"/>
      <c r="E623" s="255"/>
      <c r="F623" s="233"/>
      <c r="G623" s="233"/>
      <c r="H623" s="233"/>
      <c r="I623" s="233"/>
      <c r="J623" s="255"/>
      <c r="K623" s="10"/>
    </row>
    <row r="624" spans="1:12" x14ac:dyDescent="0.25">
      <c r="A624" s="10"/>
      <c r="B624" s="232"/>
      <c r="C624" s="227"/>
      <c r="D624" s="255"/>
      <c r="E624" s="255"/>
      <c r="F624" s="233"/>
      <c r="G624" s="233"/>
      <c r="H624" s="233"/>
      <c r="I624" s="233"/>
      <c r="J624" s="255"/>
      <c r="K624" s="10"/>
    </row>
    <row r="625" spans="1:11" x14ac:dyDescent="0.25">
      <c r="A625" s="10"/>
      <c r="B625" s="232"/>
      <c r="C625" s="227"/>
      <c r="D625" s="255"/>
      <c r="E625" s="255"/>
      <c r="F625" s="233"/>
      <c r="G625" s="233"/>
      <c r="H625" s="233"/>
      <c r="I625" s="233"/>
      <c r="J625" s="255"/>
      <c r="K625" s="10"/>
    </row>
    <row r="626" spans="1:11" x14ac:dyDescent="0.25">
      <c r="A626" s="10"/>
      <c r="B626" s="232"/>
      <c r="C626" s="227"/>
      <c r="D626" s="255"/>
      <c r="E626" s="255"/>
      <c r="F626" s="233"/>
      <c r="G626" s="233"/>
      <c r="H626" s="233"/>
      <c r="I626" s="233"/>
      <c r="J626" s="255"/>
      <c r="K626" s="10"/>
    </row>
    <row r="627" spans="1:11" x14ac:dyDescent="0.25">
      <c r="A627" s="10"/>
      <c r="B627" s="232"/>
      <c r="C627" s="227"/>
      <c r="D627" s="255"/>
      <c r="E627" s="255"/>
      <c r="F627" s="233"/>
      <c r="G627" s="233"/>
      <c r="H627" s="233"/>
      <c r="I627" s="233"/>
      <c r="J627" s="255"/>
      <c r="K627" s="10"/>
    </row>
    <row r="628" spans="1:11" x14ac:dyDescent="0.25">
      <c r="A628" s="10"/>
      <c r="B628" s="232"/>
      <c r="C628" s="227"/>
      <c r="D628" s="255"/>
      <c r="E628" s="255"/>
      <c r="F628" s="233"/>
      <c r="G628" s="233"/>
      <c r="H628" s="233"/>
      <c r="I628" s="233"/>
      <c r="J628" s="255"/>
      <c r="K628" s="10"/>
    </row>
    <row r="629" spans="1:11" x14ac:dyDescent="0.25">
      <c r="A629" s="10"/>
      <c r="B629" s="232"/>
      <c r="C629" s="227"/>
      <c r="D629" s="255"/>
      <c r="E629" s="255"/>
      <c r="F629" s="233"/>
      <c r="G629" s="233"/>
      <c r="H629" s="233"/>
      <c r="I629" s="233"/>
      <c r="J629" s="255"/>
      <c r="K629" s="10"/>
    </row>
    <row r="630" spans="1:11" x14ac:dyDescent="0.25">
      <c r="A630" s="10"/>
      <c r="B630" s="232"/>
      <c r="C630" s="227"/>
      <c r="D630" s="255"/>
      <c r="E630" s="255"/>
      <c r="F630" s="233"/>
      <c r="G630" s="233"/>
      <c r="H630" s="233"/>
      <c r="I630" s="233"/>
      <c r="J630" s="255"/>
      <c r="K630" s="10"/>
    </row>
    <row r="631" spans="1:11" x14ac:dyDescent="0.25">
      <c r="A631" s="10"/>
      <c r="B631" s="232"/>
      <c r="C631" s="227"/>
      <c r="D631" s="255"/>
      <c r="E631" s="255"/>
      <c r="F631" s="233"/>
      <c r="G631" s="233"/>
      <c r="H631" s="233"/>
      <c r="I631" s="233"/>
      <c r="J631" s="255"/>
      <c r="K631" s="10"/>
    </row>
    <row r="632" spans="1:11" x14ac:dyDescent="0.25">
      <c r="A632" s="10"/>
      <c r="B632" s="232"/>
      <c r="C632" s="227"/>
      <c r="D632" s="255"/>
      <c r="E632" s="255"/>
      <c r="F632" s="233"/>
      <c r="G632" s="233"/>
      <c r="H632" s="233"/>
      <c r="I632" s="233"/>
      <c r="J632" s="255"/>
      <c r="K632" s="10"/>
    </row>
    <row r="633" spans="1:11" x14ac:dyDescent="0.25">
      <c r="A633" s="10"/>
      <c r="B633" s="232"/>
      <c r="C633" s="227"/>
      <c r="D633" s="255"/>
      <c r="E633" s="255"/>
      <c r="F633" s="233"/>
      <c r="G633" s="233"/>
      <c r="H633" s="233"/>
      <c r="I633" s="233"/>
      <c r="J633" s="255"/>
      <c r="K633" s="10"/>
    </row>
    <row r="634" spans="1:11" x14ac:dyDescent="0.25">
      <c r="A634" s="10"/>
      <c r="B634" s="232"/>
      <c r="C634" s="227"/>
      <c r="D634" s="255"/>
      <c r="E634" s="255"/>
      <c r="F634" s="233"/>
      <c r="G634" s="233"/>
      <c r="H634" s="233"/>
      <c r="I634" s="233"/>
      <c r="J634" s="255"/>
      <c r="K634" s="10"/>
    </row>
    <row r="635" spans="1:11" x14ac:dyDescent="0.25">
      <c r="A635" s="10"/>
      <c r="B635" s="232"/>
      <c r="C635" s="227"/>
      <c r="D635" s="255"/>
      <c r="E635" s="255"/>
      <c r="F635" s="233"/>
      <c r="G635" s="233"/>
      <c r="H635" s="233"/>
      <c r="I635" s="233"/>
      <c r="J635" s="255"/>
      <c r="K635" s="10"/>
    </row>
    <row r="636" spans="1:11" x14ac:dyDescent="0.25">
      <c r="A636" s="10"/>
      <c r="B636" s="232"/>
      <c r="C636" s="227"/>
      <c r="D636" s="255"/>
      <c r="E636" s="255"/>
      <c r="F636" s="233"/>
      <c r="G636" s="233"/>
      <c r="H636" s="233"/>
      <c r="I636" s="233"/>
      <c r="J636" s="255"/>
      <c r="K636" s="10"/>
    </row>
    <row r="637" spans="1:11" x14ac:dyDescent="0.25">
      <c r="A637" s="10"/>
      <c r="B637" s="232"/>
      <c r="C637" s="227"/>
      <c r="D637" s="255"/>
      <c r="E637" s="255"/>
      <c r="F637" s="233"/>
      <c r="G637" s="233"/>
      <c r="H637" s="233"/>
      <c r="I637" s="233"/>
      <c r="J637" s="255"/>
      <c r="K637" s="10"/>
    </row>
    <row r="638" spans="1:11" x14ac:dyDescent="0.25">
      <c r="A638" s="10"/>
      <c r="B638" s="232"/>
      <c r="C638" s="227"/>
      <c r="D638" s="255"/>
      <c r="E638" s="255"/>
      <c r="F638" s="233"/>
      <c r="G638" s="233"/>
      <c r="H638" s="233"/>
      <c r="I638" s="233"/>
      <c r="J638" s="255"/>
      <c r="K638" s="10"/>
    </row>
    <row r="639" spans="1:11" x14ac:dyDescent="0.25">
      <c r="A639" s="11"/>
      <c r="B639" s="11"/>
      <c r="C639" s="273"/>
      <c r="D639" s="274"/>
      <c r="E639" s="274"/>
      <c r="F639" s="274"/>
      <c r="G639" s="274"/>
      <c r="H639" s="274"/>
      <c r="I639" s="274"/>
      <c r="J639" s="255"/>
      <c r="K639" s="10"/>
    </row>
    <row r="640" spans="1:11" x14ac:dyDescent="0.25">
      <c r="A640" s="11"/>
      <c r="B640" s="11"/>
      <c r="C640" s="273"/>
      <c r="D640" s="274"/>
      <c r="E640" s="274"/>
      <c r="F640" s="274"/>
      <c r="G640" s="274"/>
      <c r="H640" s="274"/>
      <c r="I640" s="274"/>
      <c r="J640" s="255"/>
      <c r="K640" s="10"/>
    </row>
    <row r="641" spans="1:11" x14ac:dyDescent="0.25">
      <c r="A641" s="11"/>
      <c r="B641" s="11"/>
      <c r="C641" s="273"/>
      <c r="D641" s="274"/>
      <c r="E641" s="274"/>
      <c r="F641" s="274"/>
      <c r="G641" s="274"/>
      <c r="H641" s="274"/>
      <c r="I641" s="274"/>
      <c r="J641" s="255"/>
      <c r="K641" s="10"/>
    </row>
    <row r="642" spans="1:11" x14ac:dyDescent="0.25">
      <c r="A642" s="11"/>
      <c r="B642" s="11"/>
      <c r="C642" s="273"/>
      <c r="D642" s="274"/>
      <c r="E642" s="274"/>
      <c r="F642" s="274"/>
      <c r="G642" s="274"/>
      <c r="H642" s="274"/>
      <c r="I642" s="274"/>
      <c r="J642" s="255"/>
      <c r="K642" s="10"/>
    </row>
    <row r="643" spans="1:11" x14ac:dyDescent="0.25">
      <c r="A643" s="11"/>
      <c r="B643" s="11"/>
      <c r="C643" s="273"/>
      <c r="D643" s="274"/>
      <c r="E643" s="274"/>
      <c r="F643" s="274"/>
      <c r="G643" s="274"/>
      <c r="H643" s="274"/>
      <c r="I643" s="274"/>
      <c r="J643" s="255"/>
      <c r="K643" s="10"/>
    </row>
    <row r="644" spans="1:11" x14ac:dyDescent="0.25">
      <c r="A644" s="11"/>
      <c r="B644" s="11"/>
      <c r="C644" s="273"/>
      <c r="D644" s="274"/>
      <c r="E644" s="274"/>
      <c r="F644" s="274"/>
      <c r="G644" s="274"/>
      <c r="H644" s="274"/>
      <c r="I644" s="274"/>
      <c r="J644" s="255"/>
      <c r="K644" s="10"/>
    </row>
    <row r="645" spans="1:11" x14ac:dyDescent="0.25">
      <c r="A645" s="11"/>
      <c r="B645" s="11"/>
      <c r="C645" s="273"/>
      <c r="D645" s="274"/>
      <c r="E645" s="274"/>
      <c r="F645" s="274"/>
      <c r="G645" s="274"/>
      <c r="H645" s="274"/>
      <c r="I645" s="274"/>
      <c r="J645" s="255"/>
      <c r="K645" s="10"/>
    </row>
    <row r="646" spans="1:11" x14ac:dyDescent="0.25">
      <c r="A646" s="11"/>
      <c r="B646" s="11"/>
      <c r="C646" s="273"/>
      <c r="D646" s="274"/>
      <c r="E646" s="274"/>
      <c r="F646" s="274"/>
      <c r="G646" s="274"/>
      <c r="H646" s="274"/>
      <c r="I646" s="274"/>
      <c r="J646" s="255"/>
      <c r="K646" s="10"/>
    </row>
    <row r="647" spans="1:11" x14ac:dyDescent="0.25">
      <c r="J647" s="218"/>
      <c r="K647" s="218"/>
    </row>
    <row r="648" spans="1:11" x14ac:dyDescent="0.25">
      <c r="J648" s="218"/>
      <c r="K648" s="218"/>
    </row>
    <row r="649" spans="1:11" x14ac:dyDescent="0.25">
      <c r="J649" s="218"/>
      <c r="K649" s="218"/>
    </row>
    <row r="650" spans="1:11" x14ac:dyDescent="0.25">
      <c r="J650" s="218"/>
      <c r="K650" s="218"/>
    </row>
    <row r="651" spans="1:11" x14ac:dyDescent="0.25">
      <c r="J651" s="218"/>
      <c r="K651" s="218"/>
    </row>
    <row r="652" spans="1:11" x14ac:dyDescent="0.25">
      <c r="J652" s="218"/>
      <c r="K652" s="218"/>
    </row>
    <row r="653" spans="1:11" x14ac:dyDescent="0.25">
      <c r="J653" s="218"/>
      <c r="K653" s="218"/>
    </row>
    <row r="654" spans="1:11" x14ac:dyDescent="0.25">
      <c r="J654" s="218"/>
      <c r="K654" s="218"/>
    </row>
    <row r="655" spans="1:11" x14ac:dyDescent="0.25">
      <c r="J655" s="218"/>
      <c r="K655" s="218"/>
    </row>
    <row r="656" spans="1:11" x14ac:dyDescent="0.25">
      <c r="J656" s="218"/>
      <c r="K656" s="218"/>
    </row>
    <row r="657" spans="10:11" x14ac:dyDescent="0.25">
      <c r="J657" s="218"/>
      <c r="K657" s="218"/>
    </row>
    <row r="658" spans="10:11" x14ac:dyDescent="0.25">
      <c r="J658" s="218"/>
      <c r="K658" s="218"/>
    </row>
    <row r="659" spans="10:11" x14ac:dyDescent="0.25">
      <c r="J659" s="218"/>
      <c r="K659" s="218"/>
    </row>
    <row r="660" spans="10:11" x14ac:dyDescent="0.25">
      <c r="J660" s="218"/>
      <c r="K660" s="218"/>
    </row>
    <row r="661" spans="10:11" x14ac:dyDescent="0.25">
      <c r="J661" s="218"/>
      <c r="K661" s="218"/>
    </row>
    <row r="662" spans="10:11" x14ac:dyDescent="0.25">
      <c r="J662" s="218"/>
      <c r="K662" s="218"/>
    </row>
    <row r="663" spans="10:11" x14ac:dyDescent="0.25">
      <c r="J663" s="218"/>
      <c r="K663" s="218"/>
    </row>
    <row r="664" spans="10:11" x14ac:dyDescent="0.25">
      <c r="J664" s="218"/>
      <c r="K664" s="218"/>
    </row>
    <row r="665" spans="10:11" x14ac:dyDescent="0.25">
      <c r="J665" s="218"/>
      <c r="K665" s="218"/>
    </row>
    <row r="666" spans="10:11" x14ac:dyDescent="0.25">
      <c r="J666" s="218"/>
      <c r="K666" s="218"/>
    </row>
    <row r="667" spans="10:11" x14ac:dyDescent="0.25">
      <c r="J667" s="218"/>
      <c r="K667" s="218"/>
    </row>
    <row r="668" spans="10:11" x14ac:dyDescent="0.25">
      <c r="J668" s="218"/>
      <c r="K668" s="275"/>
    </row>
    <row r="669" spans="10:11" x14ac:dyDescent="0.25">
      <c r="J669" s="218"/>
    </row>
    <row r="670" spans="10:11" x14ac:dyDescent="0.25">
      <c r="J670" s="218"/>
    </row>
    <row r="671" spans="10:11" x14ac:dyDescent="0.25">
      <c r="J671" s="218"/>
    </row>
    <row r="672" spans="10:11" x14ac:dyDescent="0.25">
      <c r="J672" s="218"/>
    </row>
    <row r="673" spans="10:10" x14ac:dyDescent="0.25">
      <c r="J673" s="218"/>
    </row>
    <row r="674" spans="10:10" x14ac:dyDescent="0.25">
      <c r="J674" s="218"/>
    </row>
    <row r="675" spans="10:10" x14ac:dyDescent="0.25">
      <c r="J675" s="218"/>
    </row>
    <row r="676" spans="10:10" x14ac:dyDescent="0.25">
      <c r="J676" s="218"/>
    </row>
    <row r="677" spans="10:10" x14ac:dyDescent="0.25">
      <c r="J677" s="218"/>
    </row>
    <row r="678" spans="10:10" x14ac:dyDescent="0.25">
      <c r="J678" s="218"/>
    </row>
    <row r="679" spans="10:10" x14ac:dyDescent="0.25">
      <c r="J679" s="218"/>
    </row>
    <row r="680" spans="10:10" x14ac:dyDescent="0.25">
      <c r="J680" s="218"/>
    </row>
    <row r="681" spans="10:10" x14ac:dyDescent="0.25">
      <c r="J681" s="218"/>
    </row>
    <row r="682" spans="10:10" x14ac:dyDescent="0.25">
      <c r="J682" s="218"/>
    </row>
    <row r="683" spans="10:10" x14ac:dyDescent="0.25">
      <c r="J683" s="218"/>
    </row>
    <row r="684" spans="10:10" x14ac:dyDescent="0.25">
      <c r="J684" s="218"/>
    </row>
    <row r="685" spans="10:10" x14ac:dyDescent="0.25">
      <c r="J685" s="218"/>
    </row>
    <row r="686" spans="10:10" x14ac:dyDescent="0.25">
      <c r="J686" s="218"/>
    </row>
    <row r="687" spans="10:10" x14ac:dyDescent="0.25">
      <c r="J687" s="218"/>
    </row>
    <row r="688" spans="10:10" x14ac:dyDescent="0.25">
      <c r="J688" s="218"/>
    </row>
    <row r="689" spans="10:10" x14ac:dyDescent="0.25">
      <c r="J689" s="218"/>
    </row>
    <row r="690" spans="10:10" x14ac:dyDescent="0.25">
      <c r="J690" s="218"/>
    </row>
    <row r="691" spans="10:10" x14ac:dyDescent="0.25">
      <c r="J691" s="218"/>
    </row>
    <row r="692" spans="10:10" x14ac:dyDescent="0.25">
      <c r="J692" s="218"/>
    </row>
    <row r="693" spans="10:10" x14ac:dyDescent="0.25">
      <c r="J693" s="218"/>
    </row>
    <row r="694" spans="10:10" x14ac:dyDescent="0.25">
      <c r="J694" s="218"/>
    </row>
    <row r="695" spans="10:10" x14ac:dyDescent="0.25">
      <c r="J695" s="218"/>
    </row>
    <row r="696" spans="10:10" x14ac:dyDescent="0.25">
      <c r="J696" s="218"/>
    </row>
    <row r="697" spans="10:10" x14ac:dyDescent="0.25">
      <c r="J697" s="218"/>
    </row>
    <row r="698" spans="10:10" x14ac:dyDescent="0.25">
      <c r="J698" s="218"/>
    </row>
    <row r="699" spans="10:10" x14ac:dyDescent="0.25">
      <c r="J699" s="218"/>
    </row>
    <row r="700" spans="10:10" x14ac:dyDescent="0.25">
      <c r="J700" s="218"/>
    </row>
    <row r="701" spans="10:10" x14ac:dyDescent="0.25">
      <c r="J701" s="218"/>
    </row>
    <row r="702" spans="10:10" x14ac:dyDescent="0.25">
      <c r="J702" s="218"/>
    </row>
    <row r="703" spans="10:10" x14ac:dyDescent="0.25">
      <c r="J703" s="218"/>
    </row>
    <row r="704" spans="10:10" x14ac:dyDescent="0.25">
      <c r="J704" s="218"/>
    </row>
    <row r="705" spans="10:10" x14ac:dyDescent="0.25">
      <c r="J705" s="218"/>
    </row>
    <row r="706" spans="10:10" x14ac:dyDescent="0.25">
      <c r="J706" s="218"/>
    </row>
    <row r="707" spans="10:10" x14ac:dyDescent="0.25">
      <c r="J707" s="218"/>
    </row>
    <row r="708" spans="10:10" x14ac:dyDescent="0.25">
      <c r="J708" s="218"/>
    </row>
    <row r="709" spans="10:10" x14ac:dyDescent="0.25">
      <c r="J709" s="218"/>
    </row>
    <row r="710" spans="10:10" x14ac:dyDescent="0.25">
      <c r="J710" s="218"/>
    </row>
    <row r="711" spans="10:10" x14ac:dyDescent="0.25">
      <c r="J711" s="218"/>
    </row>
    <row r="712" spans="10:10" x14ac:dyDescent="0.25">
      <c r="J712" s="218"/>
    </row>
    <row r="713" spans="10:10" x14ac:dyDescent="0.25">
      <c r="J713" s="218"/>
    </row>
    <row r="714" spans="10:10" x14ac:dyDescent="0.25">
      <c r="J714" s="218"/>
    </row>
    <row r="715" spans="10:10" x14ac:dyDescent="0.25">
      <c r="J715" s="218"/>
    </row>
    <row r="716" spans="10:10" x14ac:dyDescent="0.25">
      <c r="J716" s="218"/>
    </row>
    <row r="717" spans="10:10" x14ac:dyDescent="0.25">
      <c r="J717" s="218"/>
    </row>
    <row r="718" spans="10:10" x14ac:dyDescent="0.25">
      <c r="J718" s="218"/>
    </row>
    <row r="719" spans="10:10" x14ac:dyDescent="0.25">
      <c r="J719" s="218"/>
    </row>
    <row r="720" spans="10:10" x14ac:dyDescent="0.25">
      <c r="J720" s="218"/>
    </row>
    <row r="721" spans="10:10" x14ac:dyDescent="0.25">
      <c r="J721" s="218"/>
    </row>
    <row r="722" spans="10:10" x14ac:dyDescent="0.25">
      <c r="J722" s="218"/>
    </row>
    <row r="723" spans="10:10" x14ac:dyDescent="0.25">
      <c r="J723" s="218"/>
    </row>
    <row r="724" spans="10:10" x14ac:dyDescent="0.25">
      <c r="J724" s="218"/>
    </row>
    <row r="725" spans="10:10" x14ac:dyDescent="0.25">
      <c r="J725" s="218"/>
    </row>
    <row r="726" spans="10:10" x14ac:dyDescent="0.25">
      <c r="J726" s="218"/>
    </row>
    <row r="727" spans="10:10" x14ac:dyDescent="0.25">
      <c r="J727" s="218"/>
    </row>
    <row r="728" spans="10:10" x14ac:dyDescent="0.25">
      <c r="J728" s="218"/>
    </row>
    <row r="729" spans="10:10" x14ac:dyDescent="0.25">
      <c r="J729" s="218"/>
    </row>
    <row r="730" spans="10:10" x14ac:dyDescent="0.25">
      <c r="J730" s="218"/>
    </row>
    <row r="731" spans="10:10" x14ac:dyDescent="0.25">
      <c r="J731" s="218"/>
    </row>
    <row r="732" spans="10:10" x14ac:dyDescent="0.25">
      <c r="J732" s="218"/>
    </row>
    <row r="733" spans="10:10" x14ac:dyDescent="0.25">
      <c r="J733" s="218"/>
    </row>
    <row r="734" spans="10:10" x14ac:dyDescent="0.25">
      <c r="J734" s="218"/>
    </row>
    <row r="735" spans="10:10" x14ac:dyDescent="0.25">
      <c r="J735" s="218"/>
    </row>
    <row r="736" spans="10:10" x14ac:dyDescent="0.25">
      <c r="J736" s="218"/>
    </row>
    <row r="737" spans="10:10" x14ac:dyDescent="0.25">
      <c r="J737" s="218"/>
    </row>
    <row r="738" spans="10:10" x14ac:dyDescent="0.25">
      <c r="J738" s="218"/>
    </row>
    <row r="739" spans="10:10" x14ac:dyDescent="0.25">
      <c r="J739" s="218"/>
    </row>
    <row r="740" spans="10:10" x14ac:dyDescent="0.25">
      <c r="J740" s="218"/>
    </row>
    <row r="741" spans="10:10" x14ac:dyDescent="0.25">
      <c r="J741" s="218"/>
    </row>
    <row r="742" spans="10:10" x14ac:dyDescent="0.25">
      <c r="J742" s="218"/>
    </row>
    <row r="743" spans="10:10" x14ac:dyDescent="0.25">
      <c r="J743" s="218"/>
    </row>
    <row r="744" spans="10:10" x14ac:dyDescent="0.25">
      <c r="J744" s="218"/>
    </row>
    <row r="745" spans="10:10" x14ac:dyDescent="0.25">
      <c r="J745" s="218"/>
    </row>
    <row r="746" spans="10:10" x14ac:dyDescent="0.25">
      <c r="J746" s="218"/>
    </row>
    <row r="747" spans="10:10" x14ac:dyDescent="0.25">
      <c r="J747" s="218"/>
    </row>
    <row r="748" spans="10:10" x14ac:dyDescent="0.25">
      <c r="J748" s="218"/>
    </row>
    <row r="749" spans="10:10" x14ac:dyDescent="0.25">
      <c r="J749" s="218"/>
    </row>
    <row r="750" spans="10:10" x14ac:dyDescent="0.25">
      <c r="J750" s="218"/>
    </row>
    <row r="751" spans="10:10" x14ac:dyDescent="0.25">
      <c r="J751" s="218"/>
    </row>
    <row r="752" spans="10:10" x14ac:dyDescent="0.25">
      <c r="J752" s="218"/>
    </row>
    <row r="753" spans="10:10" x14ac:dyDescent="0.25">
      <c r="J753" s="218"/>
    </row>
    <row r="754" spans="10:10" x14ac:dyDescent="0.25">
      <c r="J754" s="218"/>
    </row>
    <row r="755" spans="10:10" x14ac:dyDescent="0.25">
      <c r="J755" s="218"/>
    </row>
    <row r="756" spans="10:10" x14ac:dyDescent="0.25">
      <c r="J756" s="218"/>
    </row>
    <row r="757" spans="10:10" x14ac:dyDescent="0.25">
      <c r="J757" s="218"/>
    </row>
    <row r="758" spans="10:10" x14ac:dyDescent="0.25">
      <c r="J758" s="218"/>
    </row>
    <row r="759" spans="10:10" x14ac:dyDescent="0.25">
      <c r="J759" s="218"/>
    </row>
    <row r="760" spans="10:10" x14ac:dyDescent="0.25">
      <c r="J760" s="218"/>
    </row>
    <row r="761" spans="10:10" x14ac:dyDescent="0.25">
      <c r="J761" s="218"/>
    </row>
    <row r="762" spans="10:10" x14ac:dyDescent="0.25">
      <c r="J762" s="218"/>
    </row>
    <row r="763" spans="10:10" x14ac:dyDescent="0.25">
      <c r="J763" s="218"/>
    </row>
    <row r="764" spans="10:10" x14ac:dyDescent="0.25">
      <c r="J764" s="218"/>
    </row>
    <row r="765" spans="10:10" x14ac:dyDescent="0.25">
      <c r="J765" s="218"/>
    </row>
    <row r="766" spans="10:10" x14ac:dyDescent="0.25">
      <c r="J766" s="218"/>
    </row>
    <row r="767" spans="10:10" x14ac:dyDescent="0.25">
      <c r="J767" s="218"/>
    </row>
    <row r="768" spans="10:10" x14ac:dyDescent="0.25">
      <c r="J768" s="218"/>
    </row>
    <row r="769" spans="10:10" x14ac:dyDescent="0.25">
      <c r="J769" s="218"/>
    </row>
    <row r="770" spans="10:10" x14ac:dyDescent="0.25">
      <c r="J770" s="218"/>
    </row>
    <row r="771" spans="10:10" x14ac:dyDescent="0.25">
      <c r="J771" s="218"/>
    </row>
    <row r="772" spans="10:10" x14ac:dyDescent="0.25">
      <c r="J772" s="218"/>
    </row>
    <row r="773" spans="10:10" x14ac:dyDescent="0.25">
      <c r="J773" s="218"/>
    </row>
    <row r="774" spans="10:10" x14ac:dyDescent="0.25">
      <c r="J774" s="218"/>
    </row>
    <row r="775" spans="10:10" x14ac:dyDescent="0.25">
      <c r="J775" s="218"/>
    </row>
    <row r="776" spans="10:10" x14ac:dyDescent="0.25">
      <c r="J776" s="218"/>
    </row>
    <row r="777" spans="10:10" x14ac:dyDescent="0.25">
      <c r="J777" s="218"/>
    </row>
    <row r="778" spans="10:10" x14ac:dyDescent="0.25">
      <c r="J778" s="218"/>
    </row>
    <row r="779" spans="10:10" x14ac:dyDescent="0.25">
      <c r="J779" s="218"/>
    </row>
    <row r="780" spans="10:10" x14ac:dyDescent="0.25">
      <c r="J780" s="218"/>
    </row>
    <row r="781" spans="10:10" x14ac:dyDescent="0.25">
      <c r="J781" s="218"/>
    </row>
    <row r="782" spans="10:10" x14ac:dyDescent="0.25">
      <c r="J782" s="218"/>
    </row>
    <row r="783" spans="10:10" x14ac:dyDescent="0.25">
      <c r="J783" s="218"/>
    </row>
    <row r="784" spans="10:10" x14ac:dyDescent="0.25">
      <c r="J784" s="218"/>
    </row>
    <row r="785" spans="10:10" x14ac:dyDescent="0.25">
      <c r="J785" s="218"/>
    </row>
    <row r="786" spans="10:10" x14ac:dyDescent="0.25">
      <c r="J786" s="218"/>
    </row>
    <row r="787" spans="10:10" x14ac:dyDescent="0.25">
      <c r="J787" s="218"/>
    </row>
    <row r="788" spans="10:10" x14ac:dyDescent="0.25">
      <c r="J788" s="218"/>
    </row>
    <row r="789" spans="10:10" x14ac:dyDescent="0.25">
      <c r="J789" s="218"/>
    </row>
    <row r="790" spans="10:10" x14ac:dyDescent="0.25">
      <c r="J790" s="218"/>
    </row>
    <row r="791" spans="10:10" x14ac:dyDescent="0.25">
      <c r="J791" s="218"/>
    </row>
    <row r="792" spans="10:10" x14ac:dyDescent="0.25">
      <c r="J792" s="218"/>
    </row>
    <row r="793" spans="10:10" x14ac:dyDescent="0.25">
      <c r="J793" s="218"/>
    </row>
    <row r="794" spans="10:10" x14ac:dyDescent="0.25">
      <c r="J794" s="218"/>
    </row>
    <row r="795" spans="10:10" x14ac:dyDescent="0.25">
      <c r="J795" s="218"/>
    </row>
    <row r="796" spans="10:10" x14ac:dyDescent="0.25">
      <c r="J796" s="218"/>
    </row>
    <row r="797" spans="10:10" x14ac:dyDescent="0.25">
      <c r="J797" s="218"/>
    </row>
    <row r="798" spans="10:10" x14ac:dyDescent="0.25">
      <c r="J798" s="218"/>
    </row>
    <row r="799" spans="10:10" x14ac:dyDescent="0.25">
      <c r="J799" s="218"/>
    </row>
    <row r="800" spans="10:10" x14ac:dyDescent="0.25">
      <c r="J800" s="218"/>
    </row>
    <row r="801" spans="10:10" x14ac:dyDescent="0.25">
      <c r="J801" s="218"/>
    </row>
    <row r="802" spans="10:10" x14ac:dyDescent="0.25">
      <c r="J802" s="218"/>
    </row>
    <row r="803" spans="10:10" x14ac:dyDescent="0.25">
      <c r="J803" s="218"/>
    </row>
    <row r="804" spans="10:10" x14ac:dyDescent="0.25">
      <c r="J804" s="218"/>
    </row>
    <row r="805" spans="10:10" x14ac:dyDescent="0.25">
      <c r="J805" s="218"/>
    </row>
    <row r="806" spans="10:10" x14ac:dyDescent="0.25">
      <c r="J806" s="218"/>
    </row>
    <row r="807" spans="10:10" x14ac:dyDescent="0.25">
      <c r="J807" s="218"/>
    </row>
    <row r="808" spans="10:10" x14ac:dyDescent="0.25">
      <c r="J808" s="218"/>
    </row>
    <row r="809" spans="10:10" x14ac:dyDescent="0.25">
      <c r="J809" s="218"/>
    </row>
    <row r="810" spans="10:10" x14ac:dyDescent="0.25">
      <c r="J810" s="218"/>
    </row>
    <row r="811" spans="10:10" x14ac:dyDescent="0.25">
      <c r="J811" s="218"/>
    </row>
    <row r="812" spans="10:10" x14ac:dyDescent="0.25">
      <c r="J812" s="218"/>
    </row>
    <row r="813" spans="10:10" x14ac:dyDescent="0.25">
      <c r="J813" s="218"/>
    </row>
    <row r="814" spans="10:10" x14ac:dyDescent="0.25">
      <c r="J814" s="218"/>
    </row>
    <row r="815" spans="10:10" x14ac:dyDescent="0.25">
      <c r="J815" s="218"/>
    </row>
    <row r="816" spans="10:10" x14ac:dyDescent="0.25">
      <c r="J816" s="218"/>
    </row>
    <row r="817" spans="10:10" x14ac:dyDescent="0.25">
      <c r="J817" s="218"/>
    </row>
    <row r="818" spans="10:10" x14ac:dyDescent="0.25">
      <c r="J818" s="218"/>
    </row>
    <row r="819" spans="10:10" x14ac:dyDescent="0.25">
      <c r="J819" s="218"/>
    </row>
    <row r="820" spans="10:10" x14ac:dyDescent="0.25">
      <c r="J820" s="218"/>
    </row>
    <row r="821" spans="10:10" x14ac:dyDescent="0.25">
      <c r="J821" s="218"/>
    </row>
    <row r="822" spans="10:10" x14ac:dyDescent="0.25">
      <c r="J822" s="218"/>
    </row>
    <row r="823" spans="10:10" x14ac:dyDescent="0.25">
      <c r="J823" s="218"/>
    </row>
    <row r="824" spans="10:10" x14ac:dyDescent="0.25">
      <c r="J824" s="218"/>
    </row>
    <row r="825" spans="10:10" x14ac:dyDescent="0.25">
      <c r="J825" s="218"/>
    </row>
    <row r="826" spans="10:10" x14ac:dyDescent="0.25">
      <c r="J826" s="218"/>
    </row>
    <row r="827" spans="10:10" x14ac:dyDescent="0.25">
      <c r="J827" s="218"/>
    </row>
    <row r="828" spans="10:10" x14ac:dyDescent="0.25">
      <c r="J828" s="218"/>
    </row>
    <row r="829" spans="10:10" x14ac:dyDescent="0.25">
      <c r="J829" s="218"/>
    </row>
    <row r="830" spans="10:10" x14ac:dyDescent="0.25">
      <c r="J830" s="218"/>
    </row>
    <row r="831" spans="10:10" x14ac:dyDescent="0.25">
      <c r="J831" s="218"/>
    </row>
    <row r="832" spans="10:10" x14ac:dyDescent="0.25">
      <c r="J832" s="218"/>
    </row>
    <row r="833" spans="10:10" x14ac:dyDescent="0.25">
      <c r="J833" s="218"/>
    </row>
    <row r="834" spans="10:10" x14ac:dyDescent="0.25">
      <c r="J834" s="218"/>
    </row>
    <row r="835" spans="10:10" x14ac:dyDescent="0.25">
      <c r="J835" s="218"/>
    </row>
    <row r="836" spans="10:10" x14ac:dyDescent="0.25">
      <c r="J836" s="218"/>
    </row>
    <row r="837" spans="10:10" x14ac:dyDescent="0.25">
      <c r="J837" s="218"/>
    </row>
    <row r="838" spans="10:10" x14ac:dyDescent="0.25">
      <c r="J838" s="218"/>
    </row>
    <row r="839" spans="10:10" x14ac:dyDescent="0.25">
      <c r="J839" s="218"/>
    </row>
    <row r="840" spans="10:10" x14ac:dyDescent="0.25">
      <c r="J840" s="218"/>
    </row>
    <row r="841" spans="10:10" x14ac:dyDescent="0.25">
      <c r="J841" s="218"/>
    </row>
    <row r="842" spans="10:10" x14ac:dyDescent="0.25">
      <c r="J842" s="218"/>
    </row>
    <row r="843" spans="10:10" x14ac:dyDescent="0.25">
      <c r="J843" s="218"/>
    </row>
    <row r="844" spans="10:10" x14ac:dyDescent="0.25">
      <c r="J844" s="218"/>
    </row>
    <row r="845" spans="10:10" x14ac:dyDescent="0.25">
      <c r="J845" s="218"/>
    </row>
    <row r="846" spans="10:10" x14ac:dyDescent="0.25">
      <c r="J846" s="218"/>
    </row>
    <row r="847" spans="10:10" x14ac:dyDescent="0.25">
      <c r="J847" s="218"/>
    </row>
    <row r="848" spans="10:10" x14ac:dyDescent="0.25">
      <c r="J848" s="218"/>
    </row>
    <row r="849" spans="10:10" x14ac:dyDescent="0.25">
      <c r="J849" s="218"/>
    </row>
    <row r="850" spans="10:10" x14ac:dyDescent="0.25">
      <c r="J850" s="218"/>
    </row>
    <row r="851" spans="10:10" x14ac:dyDescent="0.25">
      <c r="J851" s="218"/>
    </row>
    <row r="852" spans="10:10" x14ac:dyDescent="0.25">
      <c r="J852" s="218"/>
    </row>
    <row r="853" spans="10:10" x14ac:dyDescent="0.25">
      <c r="J853" s="218"/>
    </row>
    <row r="854" spans="10:10" x14ac:dyDescent="0.25">
      <c r="J854" s="218"/>
    </row>
    <row r="855" spans="10:10" x14ac:dyDescent="0.25">
      <c r="J855" s="218"/>
    </row>
    <row r="856" spans="10:10" x14ac:dyDescent="0.25">
      <c r="J856" s="218"/>
    </row>
    <row r="857" spans="10:10" x14ac:dyDescent="0.25">
      <c r="J857" s="218"/>
    </row>
    <row r="858" spans="10:10" x14ac:dyDescent="0.25">
      <c r="J858" s="218"/>
    </row>
    <row r="859" spans="10:10" x14ac:dyDescent="0.25">
      <c r="J859" s="218"/>
    </row>
    <row r="860" spans="10:10" x14ac:dyDescent="0.25">
      <c r="J860" s="218"/>
    </row>
    <row r="861" spans="10:10" x14ac:dyDescent="0.25">
      <c r="J861" s="218"/>
    </row>
    <row r="862" spans="10:10" x14ac:dyDescent="0.25">
      <c r="J862" s="218"/>
    </row>
    <row r="863" spans="10:10" x14ac:dyDescent="0.25">
      <c r="J863" s="218"/>
    </row>
    <row r="864" spans="10:10" x14ac:dyDescent="0.25">
      <c r="J864" s="218"/>
    </row>
    <row r="865" spans="10:10" x14ac:dyDescent="0.25">
      <c r="J865" s="218"/>
    </row>
    <row r="866" spans="10:10" x14ac:dyDescent="0.25">
      <c r="J866" s="218"/>
    </row>
    <row r="867" spans="10:10" x14ac:dyDescent="0.25">
      <c r="J867" s="218"/>
    </row>
    <row r="868" spans="10:10" x14ac:dyDescent="0.25">
      <c r="J868" s="218"/>
    </row>
    <row r="869" spans="10:10" x14ac:dyDescent="0.25">
      <c r="J869" s="218"/>
    </row>
    <row r="870" spans="10:10" x14ac:dyDescent="0.25">
      <c r="J870" s="218"/>
    </row>
    <row r="871" spans="10:10" x14ac:dyDescent="0.25">
      <c r="J871" s="218"/>
    </row>
    <row r="872" spans="10:10" x14ac:dyDescent="0.25">
      <c r="J872" s="218"/>
    </row>
    <row r="873" spans="10:10" x14ac:dyDescent="0.25">
      <c r="J873" s="218"/>
    </row>
    <row r="874" spans="10:10" x14ac:dyDescent="0.25">
      <c r="J874" s="218"/>
    </row>
    <row r="875" spans="10:10" x14ac:dyDescent="0.25">
      <c r="J875" s="218"/>
    </row>
    <row r="876" spans="10:10" x14ac:dyDescent="0.25">
      <c r="J876" s="218"/>
    </row>
    <row r="877" spans="10:10" x14ac:dyDescent="0.25">
      <c r="J877" s="218"/>
    </row>
    <row r="878" spans="10:10" x14ac:dyDescent="0.25">
      <c r="J878" s="218"/>
    </row>
    <row r="879" spans="10:10" x14ac:dyDescent="0.25">
      <c r="J879" s="218"/>
    </row>
    <row r="880" spans="10:10" x14ac:dyDescent="0.25">
      <c r="J880" s="218"/>
    </row>
    <row r="881" spans="10:10" x14ac:dyDescent="0.25">
      <c r="J881" s="218"/>
    </row>
    <row r="882" spans="10:10" x14ac:dyDescent="0.25">
      <c r="J882" s="218"/>
    </row>
    <row r="883" spans="10:10" x14ac:dyDescent="0.25">
      <c r="J883" s="218"/>
    </row>
    <row r="884" spans="10:10" x14ac:dyDescent="0.25">
      <c r="J884" s="218"/>
    </row>
    <row r="885" spans="10:10" x14ac:dyDescent="0.25">
      <c r="J885" s="218"/>
    </row>
    <row r="886" spans="10:10" x14ac:dyDescent="0.25">
      <c r="J886" s="218"/>
    </row>
    <row r="887" spans="10:10" x14ac:dyDescent="0.25">
      <c r="J887" s="218"/>
    </row>
    <row r="888" spans="10:10" x14ac:dyDescent="0.25">
      <c r="J888" s="218"/>
    </row>
    <row r="889" spans="10:10" x14ac:dyDescent="0.25">
      <c r="J889" s="218"/>
    </row>
    <row r="890" spans="10:10" x14ac:dyDescent="0.25">
      <c r="J890" s="218"/>
    </row>
    <row r="891" spans="10:10" x14ac:dyDescent="0.25">
      <c r="J891" s="218"/>
    </row>
    <row r="892" spans="10:10" x14ac:dyDescent="0.25">
      <c r="J892" s="218"/>
    </row>
    <row r="893" spans="10:10" x14ac:dyDescent="0.25">
      <c r="J893" s="218"/>
    </row>
    <row r="894" spans="10:10" x14ac:dyDescent="0.25">
      <c r="J894" s="218"/>
    </row>
    <row r="895" spans="10:10" x14ac:dyDescent="0.25">
      <c r="J895" s="218"/>
    </row>
    <row r="896" spans="10:10" x14ac:dyDescent="0.25">
      <c r="J896" s="218"/>
    </row>
    <row r="897" spans="10:10" x14ac:dyDescent="0.25">
      <c r="J897" s="218"/>
    </row>
    <row r="898" spans="10:10" x14ac:dyDescent="0.25">
      <c r="J898" s="218"/>
    </row>
    <row r="899" spans="10:10" x14ac:dyDescent="0.25">
      <c r="J899" s="218"/>
    </row>
    <row r="900" spans="10:10" x14ac:dyDescent="0.25">
      <c r="J900" s="218"/>
    </row>
    <row r="901" spans="10:10" x14ac:dyDescent="0.25">
      <c r="J901" s="218"/>
    </row>
    <row r="902" spans="10:10" x14ac:dyDescent="0.25">
      <c r="J902" s="218"/>
    </row>
    <row r="903" spans="10:10" x14ac:dyDescent="0.25">
      <c r="J903" s="218"/>
    </row>
    <row r="904" spans="10:10" x14ac:dyDescent="0.25">
      <c r="J904" s="218"/>
    </row>
    <row r="905" spans="10:10" x14ac:dyDescent="0.25">
      <c r="J905" s="218"/>
    </row>
    <row r="906" spans="10:10" x14ac:dyDescent="0.25">
      <c r="J906" s="218"/>
    </row>
    <row r="907" spans="10:10" x14ac:dyDescent="0.25">
      <c r="J907" s="218"/>
    </row>
    <row r="908" spans="10:10" x14ac:dyDescent="0.25">
      <c r="J908" s="218"/>
    </row>
    <row r="909" spans="10:10" x14ac:dyDescent="0.25">
      <c r="J909" s="218"/>
    </row>
    <row r="910" spans="10:10" x14ac:dyDescent="0.25">
      <c r="J910" s="218"/>
    </row>
    <row r="911" spans="10:10" x14ac:dyDescent="0.25">
      <c r="J911" s="218"/>
    </row>
    <row r="912" spans="10:10" x14ac:dyDescent="0.25">
      <c r="J912" s="218"/>
    </row>
    <row r="913" spans="10:10" x14ac:dyDescent="0.25">
      <c r="J913" s="218"/>
    </row>
    <row r="914" spans="10:10" x14ac:dyDescent="0.25">
      <c r="J914" s="218"/>
    </row>
    <row r="915" spans="10:10" x14ac:dyDescent="0.25">
      <c r="J915" s="218"/>
    </row>
    <row r="916" spans="10:10" x14ac:dyDescent="0.25">
      <c r="J916" s="218"/>
    </row>
    <row r="917" spans="10:10" x14ac:dyDescent="0.25">
      <c r="J917" s="218"/>
    </row>
    <row r="918" spans="10:10" x14ac:dyDescent="0.25">
      <c r="J918" s="218"/>
    </row>
    <row r="919" spans="10:10" x14ac:dyDescent="0.25">
      <c r="J919" s="218"/>
    </row>
    <row r="920" spans="10:10" x14ac:dyDescent="0.25">
      <c r="J920" s="218"/>
    </row>
    <row r="921" spans="10:10" x14ac:dyDescent="0.25">
      <c r="J921" s="218"/>
    </row>
    <row r="922" spans="10:10" x14ac:dyDescent="0.25">
      <c r="J922" s="218"/>
    </row>
    <row r="923" spans="10:10" x14ac:dyDescent="0.25">
      <c r="J923" s="218"/>
    </row>
    <row r="924" spans="10:10" x14ac:dyDescent="0.25">
      <c r="J924" s="218"/>
    </row>
    <row r="925" spans="10:10" x14ac:dyDescent="0.25">
      <c r="J925" s="218"/>
    </row>
    <row r="926" spans="10:10" x14ac:dyDescent="0.25">
      <c r="J926" s="218"/>
    </row>
    <row r="927" spans="10:10" x14ac:dyDescent="0.25">
      <c r="J927" s="218"/>
    </row>
    <row r="928" spans="10:10" x14ac:dyDescent="0.25">
      <c r="J928" s="218"/>
    </row>
    <row r="929" spans="10:10" x14ac:dyDescent="0.25">
      <c r="J929" s="218"/>
    </row>
    <row r="930" spans="10:10" x14ac:dyDescent="0.25">
      <c r="J930" s="218"/>
    </row>
    <row r="931" spans="10:10" x14ac:dyDescent="0.25">
      <c r="J931" s="218"/>
    </row>
    <row r="932" spans="10:10" x14ac:dyDescent="0.25">
      <c r="J932" s="218"/>
    </row>
    <row r="933" spans="10:10" x14ac:dyDescent="0.25">
      <c r="J933" s="218"/>
    </row>
    <row r="934" spans="10:10" x14ac:dyDescent="0.25">
      <c r="J934" s="218"/>
    </row>
    <row r="935" spans="10:10" x14ac:dyDescent="0.25">
      <c r="J935" s="218"/>
    </row>
    <row r="936" spans="10:10" x14ac:dyDescent="0.25">
      <c r="J936" s="218"/>
    </row>
    <row r="937" spans="10:10" x14ac:dyDescent="0.25">
      <c r="J937" s="218"/>
    </row>
    <row r="938" spans="10:10" x14ac:dyDescent="0.25">
      <c r="J938" s="218"/>
    </row>
    <row r="939" spans="10:10" x14ac:dyDescent="0.25">
      <c r="J939" s="218"/>
    </row>
    <row r="940" spans="10:10" x14ac:dyDescent="0.25">
      <c r="J940" s="218"/>
    </row>
    <row r="941" spans="10:10" x14ac:dyDescent="0.25">
      <c r="J941" s="218"/>
    </row>
    <row r="942" spans="10:10" x14ac:dyDescent="0.25">
      <c r="J942" s="218"/>
    </row>
    <row r="943" spans="10:10" x14ac:dyDescent="0.25">
      <c r="J943" s="218"/>
    </row>
    <row r="944" spans="10:10" x14ac:dyDescent="0.25">
      <c r="J944" s="218"/>
    </row>
    <row r="945" spans="10:10" x14ac:dyDescent="0.25">
      <c r="J945" s="218"/>
    </row>
    <row r="946" spans="10:10" x14ac:dyDescent="0.25">
      <c r="J946" s="218"/>
    </row>
    <row r="947" spans="10:10" x14ac:dyDescent="0.25">
      <c r="J947" s="218"/>
    </row>
    <row r="948" spans="10:10" x14ac:dyDescent="0.25">
      <c r="J948" s="218"/>
    </row>
    <row r="949" spans="10:10" x14ac:dyDescent="0.25">
      <c r="J949" s="218"/>
    </row>
    <row r="950" spans="10:10" x14ac:dyDescent="0.25">
      <c r="J950" s="218"/>
    </row>
    <row r="951" spans="10:10" x14ac:dyDescent="0.25">
      <c r="J951" s="218"/>
    </row>
    <row r="952" spans="10:10" x14ac:dyDescent="0.25">
      <c r="J952" s="218"/>
    </row>
    <row r="953" spans="10:10" x14ac:dyDescent="0.25">
      <c r="J953" s="218"/>
    </row>
    <row r="954" spans="10:10" x14ac:dyDescent="0.25">
      <c r="J954" s="218"/>
    </row>
    <row r="955" spans="10:10" x14ac:dyDescent="0.25">
      <c r="J955" s="218"/>
    </row>
    <row r="956" spans="10:10" x14ac:dyDescent="0.25">
      <c r="J956" s="218"/>
    </row>
    <row r="957" spans="10:10" x14ac:dyDescent="0.25">
      <c r="J957" s="218"/>
    </row>
    <row r="958" spans="10:10" x14ac:dyDescent="0.25">
      <c r="J958" s="218"/>
    </row>
    <row r="959" spans="10:10" x14ac:dyDescent="0.25">
      <c r="J959" s="218"/>
    </row>
    <row r="960" spans="10:10" x14ac:dyDescent="0.25">
      <c r="J960" s="218"/>
    </row>
    <row r="961" spans="10:10" x14ac:dyDescent="0.25">
      <c r="J961" s="218"/>
    </row>
    <row r="962" spans="10:10" x14ac:dyDescent="0.25">
      <c r="J962" s="218"/>
    </row>
    <row r="963" spans="10:10" x14ac:dyDescent="0.25">
      <c r="J963" s="218"/>
    </row>
    <row r="964" spans="10:10" x14ac:dyDescent="0.25">
      <c r="J964" s="218"/>
    </row>
    <row r="965" spans="10:10" x14ac:dyDescent="0.25">
      <c r="J965" s="218"/>
    </row>
    <row r="966" spans="10:10" x14ac:dyDescent="0.25">
      <c r="J966" s="218"/>
    </row>
    <row r="967" spans="10:10" x14ac:dyDescent="0.25">
      <c r="J967" s="218"/>
    </row>
    <row r="968" spans="10:10" x14ac:dyDescent="0.25">
      <c r="J968" s="218"/>
    </row>
    <row r="969" spans="10:10" x14ac:dyDescent="0.25">
      <c r="J969" s="218"/>
    </row>
    <row r="970" spans="10:10" x14ac:dyDescent="0.25">
      <c r="J970" s="218"/>
    </row>
    <row r="971" spans="10:10" x14ac:dyDescent="0.25">
      <c r="J971" s="218"/>
    </row>
    <row r="972" spans="10:10" x14ac:dyDescent="0.25">
      <c r="J972" s="218"/>
    </row>
    <row r="973" spans="10:10" x14ac:dyDescent="0.25">
      <c r="J973" s="218"/>
    </row>
    <row r="974" spans="10:10" x14ac:dyDescent="0.25">
      <c r="J974" s="218"/>
    </row>
    <row r="975" spans="10:10" x14ac:dyDescent="0.25">
      <c r="J975" s="218"/>
    </row>
    <row r="976" spans="10:10" x14ac:dyDescent="0.25">
      <c r="J976" s="218"/>
    </row>
    <row r="977" spans="10:10" x14ac:dyDescent="0.25">
      <c r="J977" s="218"/>
    </row>
    <row r="978" spans="10:10" x14ac:dyDescent="0.25">
      <c r="J978" s="218"/>
    </row>
    <row r="979" spans="10:10" x14ac:dyDescent="0.25">
      <c r="J979" s="218"/>
    </row>
    <row r="980" spans="10:10" x14ac:dyDescent="0.25">
      <c r="J980" s="218"/>
    </row>
    <row r="981" spans="10:10" x14ac:dyDescent="0.25">
      <c r="J981" s="218"/>
    </row>
    <row r="982" spans="10:10" x14ac:dyDescent="0.25">
      <c r="J982" s="218"/>
    </row>
    <row r="983" spans="10:10" x14ac:dyDescent="0.25">
      <c r="J983" s="218"/>
    </row>
    <row r="984" spans="10:10" x14ac:dyDescent="0.25">
      <c r="J984" s="218"/>
    </row>
    <row r="985" spans="10:10" x14ac:dyDescent="0.25">
      <c r="J985" s="218"/>
    </row>
    <row r="986" spans="10:10" x14ac:dyDescent="0.25">
      <c r="J986" s="218"/>
    </row>
    <row r="987" spans="10:10" x14ac:dyDescent="0.25">
      <c r="J987" s="218"/>
    </row>
    <row r="988" spans="10:10" x14ac:dyDescent="0.25">
      <c r="J988" s="218"/>
    </row>
    <row r="989" spans="10:10" x14ac:dyDescent="0.25">
      <c r="J989" s="218"/>
    </row>
    <row r="990" spans="10:10" x14ac:dyDescent="0.25">
      <c r="J990" s="218"/>
    </row>
    <row r="991" spans="10:10" x14ac:dyDescent="0.25">
      <c r="J991" s="218"/>
    </row>
    <row r="992" spans="10:10" x14ac:dyDescent="0.25">
      <c r="J992" s="218"/>
    </row>
    <row r="993" spans="10:10" x14ac:dyDescent="0.25">
      <c r="J993" s="218"/>
    </row>
    <row r="994" spans="10:10" x14ac:dyDescent="0.25">
      <c r="J994" s="218"/>
    </row>
    <row r="995" spans="10:10" x14ac:dyDescent="0.25">
      <c r="J995" s="218"/>
    </row>
    <row r="996" spans="10:10" x14ac:dyDescent="0.25">
      <c r="J996" s="218"/>
    </row>
    <row r="997" spans="10:10" x14ac:dyDescent="0.25">
      <c r="J997" s="218"/>
    </row>
    <row r="998" spans="10:10" x14ac:dyDescent="0.25">
      <c r="J998" s="218"/>
    </row>
    <row r="999" spans="10:10" x14ac:dyDescent="0.25">
      <c r="J999" s="218"/>
    </row>
    <row r="1000" spans="10:10" x14ac:dyDescent="0.25">
      <c r="J1000" s="218"/>
    </row>
    <row r="1001" spans="10:10" x14ac:dyDescent="0.25">
      <c r="J1001" s="218"/>
    </row>
    <row r="1002" spans="10:10" x14ac:dyDescent="0.25">
      <c r="J1002" s="218"/>
    </row>
    <row r="1003" spans="10:10" x14ac:dyDescent="0.25">
      <c r="J1003" s="218"/>
    </row>
    <row r="1004" spans="10:10" x14ac:dyDescent="0.25">
      <c r="J1004" s="218"/>
    </row>
    <row r="1005" spans="10:10" x14ac:dyDescent="0.25">
      <c r="J1005" s="218"/>
    </row>
    <row r="1006" spans="10:10" x14ac:dyDescent="0.25">
      <c r="J1006" s="218"/>
    </row>
    <row r="1007" spans="10:10" x14ac:dyDescent="0.25">
      <c r="J1007" s="218"/>
    </row>
    <row r="1008" spans="10:10" x14ac:dyDescent="0.25">
      <c r="J1008" s="218"/>
    </row>
    <row r="1009" spans="10:10" x14ac:dyDescent="0.25">
      <c r="J1009" s="218"/>
    </row>
    <row r="1010" spans="10:10" x14ac:dyDescent="0.25">
      <c r="J1010" s="218"/>
    </row>
    <row r="1011" spans="10:10" x14ac:dyDescent="0.25">
      <c r="J1011" s="218"/>
    </row>
    <row r="1012" spans="10:10" x14ac:dyDescent="0.25">
      <c r="J1012" s="218"/>
    </row>
    <row r="1013" spans="10:10" x14ac:dyDescent="0.25">
      <c r="J1013" s="218"/>
    </row>
    <row r="1014" spans="10:10" x14ac:dyDescent="0.25">
      <c r="J1014" s="218"/>
    </row>
    <row r="1015" spans="10:10" x14ac:dyDescent="0.25">
      <c r="J1015" s="218"/>
    </row>
    <row r="1016" spans="10:10" x14ac:dyDescent="0.25">
      <c r="J1016" s="218"/>
    </row>
    <row r="1017" spans="10:10" x14ac:dyDescent="0.25">
      <c r="J1017" s="218"/>
    </row>
    <row r="1018" spans="10:10" x14ac:dyDescent="0.25">
      <c r="J1018" s="218"/>
    </row>
    <row r="1019" spans="10:10" x14ac:dyDescent="0.25">
      <c r="J1019" s="218"/>
    </row>
    <row r="1020" spans="10:10" x14ac:dyDescent="0.25">
      <c r="J1020" s="218"/>
    </row>
    <row r="1021" spans="10:10" x14ac:dyDescent="0.25">
      <c r="J1021" s="218"/>
    </row>
    <row r="1022" spans="10:10" x14ac:dyDescent="0.25">
      <c r="J1022" s="218"/>
    </row>
    <row r="1023" spans="10:10" x14ac:dyDescent="0.25">
      <c r="J1023" s="218"/>
    </row>
    <row r="1024" spans="10:10" x14ac:dyDescent="0.25">
      <c r="J1024" s="218"/>
    </row>
    <row r="1025" spans="10:10" x14ac:dyDescent="0.25">
      <c r="J1025" s="218"/>
    </row>
    <row r="1026" spans="10:10" x14ac:dyDescent="0.25">
      <c r="J1026" s="218"/>
    </row>
    <row r="1027" spans="10:10" x14ac:dyDescent="0.25">
      <c r="J1027" s="218"/>
    </row>
    <row r="1028" spans="10:10" x14ac:dyDescent="0.25">
      <c r="J1028" s="218"/>
    </row>
    <row r="1029" spans="10:10" x14ac:dyDescent="0.25">
      <c r="J1029" s="218"/>
    </row>
    <row r="1030" spans="10:10" x14ac:dyDescent="0.25">
      <c r="J1030" s="218"/>
    </row>
    <row r="1031" spans="10:10" x14ac:dyDescent="0.25">
      <c r="J1031" s="218"/>
    </row>
    <row r="1032" spans="10:10" x14ac:dyDescent="0.25">
      <c r="J1032" s="218"/>
    </row>
    <row r="1033" spans="10:10" x14ac:dyDescent="0.25">
      <c r="J1033" s="218"/>
    </row>
    <row r="1034" spans="10:10" x14ac:dyDescent="0.25">
      <c r="J1034" s="218"/>
    </row>
    <row r="1035" spans="10:10" x14ac:dyDescent="0.25">
      <c r="J1035" s="218"/>
    </row>
    <row r="1036" spans="10:10" x14ac:dyDescent="0.25">
      <c r="J1036" s="218"/>
    </row>
    <row r="1037" spans="10:10" x14ac:dyDescent="0.25">
      <c r="J1037" s="218"/>
    </row>
    <row r="1038" spans="10:10" x14ac:dyDescent="0.25">
      <c r="J1038" s="218"/>
    </row>
    <row r="1039" spans="10:10" x14ac:dyDescent="0.25">
      <c r="J1039" s="218"/>
    </row>
    <row r="1040" spans="10:10" x14ac:dyDescent="0.25">
      <c r="J1040" s="218"/>
    </row>
    <row r="1041" spans="10:10" x14ac:dyDescent="0.25">
      <c r="J1041" s="218"/>
    </row>
    <row r="1042" spans="10:10" x14ac:dyDescent="0.25">
      <c r="J1042" s="218"/>
    </row>
    <row r="1043" spans="10:10" x14ac:dyDescent="0.25">
      <c r="J1043" s="218"/>
    </row>
    <row r="1044" spans="10:10" x14ac:dyDescent="0.25">
      <c r="J1044" s="218"/>
    </row>
    <row r="1045" spans="10:10" x14ac:dyDescent="0.25">
      <c r="J1045" s="218"/>
    </row>
    <row r="1046" spans="10:10" x14ac:dyDescent="0.25">
      <c r="J1046" s="218"/>
    </row>
    <row r="1047" spans="10:10" x14ac:dyDescent="0.25">
      <c r="J1047" s="218"/>
    </row>
    <row r="1048" spans="10:10" x14ac:dyDescent="0.25">
      <c r="J1048" s="218"/>
    </row>
    <row r="1049" spans="10:10" x14ac:dyDescent="0.25">
      <c r="J1049" s="218"/>
    </row>
    <row r="1050" spans="10:10" x14ac:dyDescent="0.25">
      <c r="J1050" s="218"/>
    </row>
    <row r="1051" spans="10:10" x14ac:dyDescent="0.25">
      <c r="J1051" s="218"/>
    </row>
    <row r="1052" spans="10:10" x14ac:dyDescent="0.25">
      <c r="J1052" s="218"/>
    </row>
    <row r="1053" spans="10:10" x14ac:dyDescent="0.25">
      <c r="J1053" s="218"/>
    </row>
    <row r="1054" spans="10:10" x14ac:dyDescent="0.25">
      <c r="J1054" s="218"/>
    </row>
    <row r="1055" spans="10:10" x14ac:dyDescent="0.25">
      <c r="J1055" s="218"/>
    </row>
    <row r="1056" spans="10:10" x14ac:dyDescent="0.25">
      <c r="J1056" s="218"/>
    </row>
    <row r="1057" spans="10:10" x14ac:dyDescent="0.25">
      <c r="J1057" s="218"/>
    </row>
    <row r="1058" spans="10:10" x14ac:dyDescent="0.25">
      <c r="J1058" s="218"/>
    </row>
    <row r="1059" spans="10:10" x14ac:dyDescent="0.25">
      <c r="J1059" s="218"/>
    </row>
    <row r="1060" spans="10:10" x14ac:dyDescent="0.25">
      <c r="J1060" s="218"/>
    </row>
    <row r="1061" spans="10:10" x14ac:dyDescent="0.25">
      <c r="J1061" s="218"/>
    </row>
    <row r="1062" spans="10:10" x14ac:dyDescent="0.25">
      <c r="J1062" s="218"/>
    </row>
    <row r="1063" spans="10:10" x14ac:dyDescent="0.25">
      <c r="J1063" s="218"/>
    </row>
    <row r="1064" spans="10:10" x14ac:dyDescent="0.25">
      <c r="J1064" s="218"/>
    </row>
    <row r="1065" spans="10:10" x14ac:dyDescent="0.25">
      <c r="J1065" s="218"/>
    </row>
    <row r="1066" spans="10:10" x14ac:dyDescent="0.25">
      <c r="J1066" s="218"/>
    </row>
    <row r="1067" spans="10:10" x14ac:dyDescent="0.25">
      <c r="J1067" s="218"/>
    </row>
    <row r="1068" spans="10:10" x14ac:dyDescent="0.25">
      <c r="J1068" s="218"/>
    </row>
    <row r="1069" spans="10:10" x14ac:dyDescent="0.25">
      <c r="J1069" s="218"/>
    </row>
    <row r="1070" spans="10:10" x14ac:dyDescent="0.25">
      <c r="J1070" s="218"/>
    </row>
    <row r="1071" spans="10:10" x14ac:dyDescent="0.25">
      <c r="J1071" s="218"/>
    </row>
    <row r="1072" spans="10:10" x14ac:dyDescent="0.25">
      <c r="J1072" s="218"/>
    </row>
    <row r="1073" spans="10:10" x14ac:dyDescent="0.25">
      <c r="J1073" s="218"/>
    </row>
    <row r="1074" spans="10:10" x14ac:dyDescent="0.25">
      <c r="J1074" s="218"/>
    </row>
    <row r="1075" spans="10:10" x14ac:dyDescent="0.25">
      <c r="J1075" s="218"/>
    </row>
    <row r="1076" spans="10:10" x14ac:dyDescent="0.25">
      <c r="J1076" s="218"/>
    </row>
    <row r="1077" spans="10:10" x14ac:dyDescent="0.25">
      <c r="J1077" s="218"/>
    </row>
    <row r="1078" spans="10:10" x14ac:dyDescent="0.25">
      <c r="J1078" s="218"/>
    </row>
    <row r="1079" spans="10:10" x14ac:dyDescent="0.25">
      <c r="J1079" s="218"/>
    </row>
    <row r="1080" spans="10:10" x14ac:dyDescent="0.25">
      <c r="J1080" s="218"/>
    </row>
    <row r="1081" spans="10:10" x14ac:dyDescent="0.25">
      <c r="J1081" s="218"/>
    </row>
    <row r="1082" spans="10:10" x14ac:dyDescent="0.25">
      <c r="J1082" s="218"/>
    </row>
    <row r="1083" spans="10:10" x14ac:dyDescent="0.25">
      <c r="J1083" s="218"/>
    </row>
    <row r="1084" spans="10:10" x14ac:dyDescent="0.25">
      <c r="J1084" s="218"/>
    </row>
    <row r="1085" spans="10:10" x14ac:dyDescent="0.25">
      <c r="J1085" s="218"/>
    </row>
    <row r="1086" spans="10:10" x14ac:dyDescent="0.25">
      <c r="J1086" s="218"/>
    </row>
    <row r="1087" spans="10:10" x14ac:dyDescent="0.25">
      <c r="J1087" s="218"/>
    </row>
    <row r="1088" spans="10:10" x14ac:dyDescent="0.25">
      <c r="J1088" s="218"/>
    </row>
    <row r="1089" spans="10:10" x14ac:dyDescent="0.25">
      <c r="J1089" s="218"/>
    </row>
    <row r="1090" spans="10:10" x14ac:dyDescent="0.25">
      <c r="J1090" s="218"/>
    </row>
    <row r="1091" spans="10:10" x14ac:dyDescent="0.25">
      <c r="J1091" s="218"/>
    </row>
    <row r="1092" spans="10:10" x14ac:dyDescent="0.25">
      <c r="J1092" s="218"/>
    </row>
    <row r="1093" spans="10:10" x14ac:dyDescent="0.25">
      <c r="J1093" s="218"/>
    </row>
    <row r="1094" spans="10:10" x14ac:dyDescent="0.25">
      <c r="J1094" s="218"/>
    </row>
    <row r="1095" spans="10:10" x14ac:dyDescent="0.25">
      <c r="J1095" s="218"/>
    </row>
    <row r="1096" spans="10:10" x14ac:dyDescent="0.25">
      <c r="J1096" s="218"/>
    </row>
    <row r="1097" spans="10:10" x14ac:dyDescent="0.25">
      <c r="J1097" s="218"/>
    </row>
    <row r="1098" spans="10:10" x14ac:dyDescent="0.25">
      <c r="J1098" s="218"/>
    </row>
    <row r="1099" spans="10:10" x14ac:dyDescent="0.25">
      <c r="J1099" s="218"/>
    </row>
    <row r="1100" spans="10:10" x14ac:dyDescent="0.25">
      <c r="J1100" s="218"/>
    </row>
    <row r="1101" spans="10:10" x14ac:dyDescent="0.25">
      <c r="J1101" s="218"/>
    </row>
    <row r="1102" spans="10:10" x14ac:dyDescent="0.25">
      <c r="J1102" s="218"/>
    </row>
    <row r="1103" spans="10:10" x14ac:dyDescent="0.25">
      <c r="J1103" s="218"/>
    </row>
    <row r="1104" spans="10:10" x14ac:dyDescent="0.25">
      <c r="J1104" s="218"/>
    </row>
    <row r="1105" spans="10:10" x14ac:dyDescent="0.25">
      <c r="J1105" s="218"/>
    </row>
    <row r="1106" spans="10:10" x14ac:dyDescent="0.25">
      <c r="J1106" s="218"/>
    </row>
    <row r="1107" spans="10:10" x14ac:dyDescent="0.25">
      <c r="J1107" s="218"/>
    </row>
    <row r="1108" spans="10:10" x14ac:dyDescent="0.25">
      <c r="J1108" s="218"/>
    </row>
    <row r="1109" spans="10:10" x14ac:dyDescent="0.25">
      <c r="J1109" s="218"/>
    </row>
    <row r="1110" spans="10:10" x14ac:dyDescent="0.25">
      <c r="J1110" s="218"/>
    </row>
    <row r="1111" spans="10:10" x14ac:dyDescent="0.25">
      <c r="J1111" s="218"/>
    </row>
    <row r="1112" spans="10:10" x14ac:dyDescent="0.25">
      <c r="J1112" s="218"/>
    </row>
    <row r="1113" spans="10:10" x14ac:dyDescent="0.25">
      <c r="J1113" s="218"/>
    </row>
    <row r="1114" spans="10:10" x14ac:dyDescent="0.25">
      <c r="J1114" s="218"/>
    </row>
    <row r="1115" spans="10:10" x14ac:dyDescent="0.25">
      <c r="J1115" s="218"/>
    </row>
    <row r="1116" spans="10:10" x14ac:dyDescent="0.25">
      <c r="J1116" s="218"/>
    </row>
    <row r="1117" spans="10:10" x14ac:dyDescent="0.25">
      <c r="J1117" s="218"/>
    </row>
    <row r="1118" spans="10:10" x14ac:dyDescent="0.25">
      <c r="J1118" s="218"/>
    </row>
    <row r="1119" spans="10:10" x14ac:dyDescent="0.25">
      <c r="J1119" s="218"/>
    </row>
    <row r="1120" spans="10:10" x14ac:dyDescent="0.25">
      <c r="J1120" s="218"/>
    </row>
    <row r="1121" spans="10:10" x14ac:dyDescent="0.25">
      <c r="J1121" s="218"/>
    </row>
    <row r="1122" spans="10:10" x14ac:dyDescent="0.25">
      <c r="J1122" s="218"/>
    </row>
    <row r="1123" spans="10:10" x14ac:dyDescent="0.25">
      <c r="J1123" s="218"/>
    </row>
    <row r="1124" spans="10:10" x14ac:dyDescent="0.25">
      <c r="J1124" s="218"/>
    </row>
    <row r="1125" spans="10:10" x14ac:dyDescent="0.25">
      <c r="J1125" s="218"/>
    </row>
    <row r="1126" spans="10:10" x14ac:dyDescent="0.25">
      <c r="J1126" s="218"/>
    </row>
    <row r="1127" spans="10:10" x14ac:dyDescent="0.25">
      <c r="J1127" s="218"/>
    </row>
    <row r="1128" spans="10:10" x14ac:dyDescent="0.25">
      <c r="J1128" s="218"/>
    </row>
    <row r="1129" spans="10:10" x14ac:dyDescent="0.25">
      <c r="J1129" s="218"/>
    </row>
    <row r="1130" spans="10:10" x14ac:dyDescent="0.25">
      <c r="J1130" s="218"/>
    </row>
    <row r="1131" spans="10:10" x14ac:dyDescent="0.25">
      <c r="J1131" s="218"/>
    </row>
    <row r="1132" spans="10:10" x14ac:dyDescent="0.25">
      <c r="J1132" s="218"/>
    </row>
    <row r="1133" spans="10:10" x14ac:dyDescent="0.25">
      <c r="J1133" s="218"/>
    </row>
    <row r="1134" spans="10:10" x14ac:dyDescent="0.25">
      <c r="J1134" s="218"/>
    </row>
    <row r="1135" spans="10:10" x14ac:dyDescent="0.25">
      <c r="J1135" s="218"/>
    </row>
    <row r="1136" spans="10:10" x14ac:dyDescent="0.25">
      <c r="J1136" s="218"/>
    </row>
    <row r="1137" spans="10:10" x14ac:dyDescent="0.25">
      <c r="J1137" s="218"/>
    </row>
    <row r="1138" spans="10:10" x14ac:dyDescent="0.25">
      <c r="J1138" s="218"/>
    </row>
    <row r="1139" spans="10:10" x14ac:dyDescent="0.25">
      <c r="J1139" s="218"/>
    </row>
    <row r="1140" spans="10:10" x14ac:dyDescent="0.25">
      <c r="J1140" s="218"/>
    </row>
    <row r="1141" spans="10:10" x14ac:dyDescent="0.25">
      <c r="J1141" s="218"/>
    </row>
    <row r="1142" spans="10:10" x14ac:dyDescent="0.25">
      <c r="J1142" s="218"/>
    </row>
    <row r="1143" spans="10:10" x14ac:dyDescent="0.25">
      <c r="J1143" s="218"/>
    </row>
    <row r="1144" spans="10:10" x14ac:dyDescent="0.25">
      <c r="J1144" s="218"/>
    </row>
    <row r="1145" spans="10:10" x14ac:dyDescent="0.25">
      <c r="J1145" s="218"/>
    </row>
    <row r="1146" spans="10:10" x14ac:dyDescent="0.25">
      <c r="J1146" s="218"/>
    </row>
    <row r="1147" spans="10:10" x14ac:dyDescent="0.25">
      <c r="J1147" s="218"/>
    </row>
    <row r="1148" spans="10:10" x14ac:dyDescent="0.25">
      <c r="J1148" s="218"/>
    </row>
    <row r="1149" spans="10:10" x14ac:dyDescent="0.25">
      <c r="J1149" s="218"/>
    </row>
    <row r="1150" spans="10:10" x14ac:dyDescent="0.25">
      <c r="J1150" s="218"/>
    </row>
    <row r="1151" spans="10:10" x14ac:dyDescent="0.25">
      <c r="J1151" s="218"/>
    </row>
    <row r="1152" spans="10:10" x14ac:dyDescent="0.25">
      <c r="J1152" s="218"/>
    </row>
    <row r="1153" spans="10:10" x14ac:dyDescent="0.25">
      <c r="J1153" s="218"/>
    </row>
    <row r="1154" spans="10:10" x14ac:dyDescent="0.25">
      <c r="J1154" s="218"/>
    </row>
    <row r="1155" spans="10:10" x14ac:dyDescent="0.25">
      <c r="J1155" s="218"/>
    </row>
    <row r="1156" spans="10:10" x14ac:dyDescent="0.25">
      <c r="J1156" s="218"/>
    </row>
    <row r="1157" spans="10:10" x14ac:dyDescent="0.25">
      <c r="J1157" s="218"/>
    </row>
    <row r="1158" spans="10:10" x14ac:dyDescent="0.25">
      <c r="J1158" s="218"/>
    </row>
    <row r="1159" spans="10:10" x14ac:dyDescent="0.25">
      <c r="J1159" s="218"/>
    </row>
    <row r="1160" spans="10:10" x14ac:dyDescent="0.25">
      <c r="J1160" s="218"/>
    </row>
    <row r="1161" spans="10:10" x14ac:dyDescent="0.25">
      <c r="J1161" s="218"/>
    </row>
    <row r="1162" spans="10:10" x14ac:dyDescent="0.25">
      <c r="J1162" s="218"/>
    </row>
    <row r="1163" spans="10:10" x14ac:dyDescent="0.25">
      <c r="J1163" s="218"/>
    </row>
    <row r="1164" spans="10:10" x14ac:dyDescent="0.25">
      <c r="J1164" s="218"/>
    </row>
    <row r="1165" spans="10:10" x14ac:dyDescent="0.25">
      <c r="J1165" s="218"/>
    </row>
    <row r="1166" spans="10:10" x14ac:dyDescent="0.25">
      <c r="J1166" s="218"/>
    </row>
    <row r="1167" spans="10:10" x14ac:dyDescent="0.25">
      <c r="J1167" s="218"/>
    </row>
    <row r="1168" spans="10:10" x14ac:dyDescent="0.25">
      <c r="J1168" s="218"/>
    </row>
    <row r="1169" spans="10:10" x14ac:dyDescent="0.25">
      <c r="J1169" s="218"/>
    </row>
    <row r="1170" spans="10:10" x14ac:dyDescent="0.25">
      <c r="J1170" s="218"/>
    </row>
    <row r="1171" spans="10:10" x14ac:dyDescent="0.25">
      <c r="J1171" s="218"/>
    </row>
    <row r="1172" spans="10:10" x14ac:dyDescent="0.25">
      <c r="J1172" s="218"/>
    </row>
    <row r="1173" spans="10:10" x14ac:dyDescent="0.25">
      <c r="J1173" s="218"/>
    </row>
    <row r="1174" spans="10:10" x14ac:dyDescent="0.25">
      <c r="J1174" s="218"/>
    </row>
    <row r="1175" spans="10:10" x14ac:dyDescent="0.25">
      <c r="J1175" s="218"/>
    </row>
    <row r="1176" spans="10:10" x14ac:dyDescent="0.25">
      <c r="J1176" s="218"/>
    </row>
    <row r="1177" spans="10:10" x14ac:dyDescent="0.25">
      <c r="J1177" s="218"/>
    </row>
    <row r="1178" spans="10:10" x14ac:dyDescent="0.25">
      <c r="J1178" s="218"/>
    </row>
    <row r="1179" spans="10:10" x14ac:dyDescent="0.25">
      <c r="J1179" s="218"/>
    </row>
    <row r="1180" spans="10:10" x14ac:dyDescent="0.25">
      <c r="J1180" s="218"/>
    </row>
    <row r="1181" spans="10:10" x14ac:dyDescent="0.25">
      <c r="J1181" s="218"/>
    </row>
    <row r="1182" spans="10:10" x14ac:dyDescent="0.25">
      <c r="J1182" s="218"/>
    </row>
    <row r="1183" spans="10:10" x14ac:dyDescent="0.25">
      <c r="J1183" s="218"/>
    </row>
    <row r="1184" spans="10:10" x14ac:dyDescent="0.25">
      <c r="J1184" s="218"/>
    </row>
    <row r="1185" spans="10:10" x14ac:dyDescent="0.25">
      <c r="J1185" s="218"/>
    </row>
    <row r="1186" spans="10:10" x14ac:dyDescent="0.25">
      <c r="J1186" s="218"/>
    </row>
    <row r="1187" spans="10:10" x14ac:dyDescent="0.25">
      <c r="J1187" s="218"/>
    </row>
    <row r="1188" spans="10:10" x14ac:dyDescent="0.25">
      <c r="J1188" s="218"/>
    </row>
    <row r="1189" spans="10:10" x14ac:dyDescent="0.25">
      <c r="J1189" s="218"/>
    </row>
    <row r="1190" spans="10:10" x14ac:dyDescent="0.25">
      <c r="J1190" s="218"/>
    </row>
    <row r="1191" spans="10:10" x14ac:dyDescent="0.25">
      <c r="J1191" s="218"/>
    </row>
    <row r="1192" spans="10:10" x14ac:dyDescent="0.25">
      <c r="J1192" s="218"/>
    </row>
    <row r="1193" spans="10:10" x14ac:dyDescent="0.25">
      <c r="J1193" s="218"/>
    </row>
    <row r="1194" spans="10:10" x14ac:dyDescent="0.25">
      <c r="J1194" s="218"/>
    </row>
    <row r="1195" spans="10:10" x14ac:dyDescent="0.25">
      <c r="J1195" s="218"/>
    </row>
    <row r="1196" spans="10:10" x14ac:dyDescent="0.25">
      <c r="J1196" s="218"/>
    </row>
    <row r="1197" spans="10:10" x14ac:dyDescent="0.25">
      <c r="J1197" s="218"/>
    </row>
    <row r="1198" spans="10:10" x14ac:dyDescent="0.25">
      <c r="J1198" s="218"/>
    </row>
    <row r="1199" spans="10:10" x14ac:dyDescent="0.25">
      <c r="J1199" s="218"/>
    </row>
    <row r="1200" spans="10:10" x14ac:dyDescent="0.25">
      <c r="J1200" s="218"/>
    </row>
    <row r="1201" spans="10:10" x14ac:dyDescent="0.25">
      <c r="J1201" s="218"/>
    </row>
    <row r="1202" spans="10:10" x14ac:dyDescent="0.25">
      <c r="J1202" s="218"/>
    </row>
    <row r="1203" spans="10:10" x14ac:dyDescent="0.25">
      <c r="J1203" s="218"/>
    </row>
    <row r="1204" spans="10:10" x14ac:dyDescent="0.25">
      <c r="J1204" s="218"/>
    </row>
    <row r="1205" spans="10:10" x14ac:dyDescent="0.25">
      <c r="J1205" s="218"/>
    </row>
    <row r="1206" spans="10:10" x14ac:dyDescent="0.25">
      <c r="J1206" s="218"/>
    </row>
    <row r="1207" spans="10:10" x14ac:dyDescent="0.25">
      <c r="J1207" s="218"/>
    </row>
    <row r="1208" spans="10:10" x14ac:dyDescent="0.25">
      <c r="J1208" s="218"/>
    </row>
    <row r="1209" spans="10:10" x14ac:dyDescent="0.25">
      <c r="J1209" s="218"/>
    </row>
    <row r="1210" spans="10:10" x14ac:dyDescent="0.25">
      <c r="J1210" s="218"/>
    </row>
    <row r="1211" spans="10:10" x14ac:dyDescent="0.25">
      <c r="J1211" s="218"/>
    </row>
    <row r="1212" spans="10:10" x14ac:dyDescent="0.25">
      <c r="J1212" s="218"/>
    </row>
    <row r="1213" spans="10:10" x14ac:dyDescent="0.25">
      <c r="J1213" s="218"/>
    </row>
    <row r="1214" spans="10:10" x14ac:dyDescent="0.25">
      <c r="J1214" s="218"/>
    </row>
    <row r="1215" spans="10:10" x14ac:dyDescent="0.25">
      <c r="J1215" s="218"/>
    </row>
    <row r="1216" spans="10:10" x14ac:dyDescent="0.25">
      <c r="J1216" s="218"/>
    </row>
    <row r="1217" spans="10:10" x14ac:dyDescent="0.25">
      <c r="J1217" s="218"/>
    </row>
    <row r="1218" spans="10:10" x14ac:dyDescent="0.25">
      <c r="J1218" s="218"/>
    </row>
    <row r="1219" spans="10:10" x14ac:dyDescent="0.25">
      <c r="J1219" s="218"/>
    </row>
    <row r="1220" spans="10:10" x14ac:dyDescent="0.25">
      <c r="J1220" s="218"/>
    </row>
    <row r="1221" spans="10:10" x14ac:dyDescent="0.25">
      <c r="J1221" s="218"/>
    </row>
    <row r="1222" spans="10:10" x14ac:dyDescent="0.25">
      <c r="J1222" s="218"/>
    </row>
    <row r="1223" spans="10:10" x14ac:dyDescent="0.25">
      <c r="J1223" s="218"/>
    </row>
    <row r="1224" spans="10:10" x14ac:dyDescent="0.25">
      <c r="J1224" s="218"/>
    </row>
    <row r="1225" spans="10:10" x14ac:dyDescent="0.25">
      <c r="J1225" s="218"/>
    </row>
    <row r="1226" spans="10:10" x14ac:dyDescent="0.25">
      <c r="J1226" s="218"/>
    </row>
    <row r="1227" spans="10:10" x14ac:dyDescent="0.25">
      <c r="J1227" s="218"/>
    </row>
    <row r="1228" spans="10:10" x14ac:dyDescent="0.25">
      <c r="J1228" s="218"/>
    </row>
    <row r="1229" spans="10:10" x14ac:dyDescent="0.25">
      <c r="J1229" s="218"/>
    </row>
    <row r="1230" spans="10:10" x14ac:dyDescent="0.25">
      <c r="J1230" s="218"/>
    </row>
    <row r="1231" spans="10:10" x14ac:dyDescent="0.25">
      <c r="J1231" s="218"/>
    </row>
    <row r="1232" spans="10:10" x14ac:dyDescent="0.25">
      <c r="J1232" s="218"/>
    </row>
    <row r="1233" spans="10:10" x14ac:dyDescent="0.25">
      <c r="J1233" s="218"/>
    </row>
    <row r="1234" spans="10:10" x14ac:dyDescent="0.25">
      <c r="J1234" s="218"/>
    </row>
    <row r="1235" spans="10:10" x14ac:dyDescent="0.25">
      <c r="J1235" s="218"/>
    </row>
    <row r="1236" spans="10:10" x14ac:dyDescent="0.25">
      <c r="J1236" s="218"/>
    </row>
    <row r="1237" spans="10:10" x14ac:dyDescent="0.25">
      <c r="J1237" s="218"/>
    </row>
    <row r="1238" spans="10:10" x14ac:dyDescent="0.25">
      <c r="J1238" s="218"/>
    </row>
    <row r="1239" spans="10:10" x14ac:dyDescent="0.25">
      <c r="J1239" s="218"/>
    </row>
    <row r="1240" spans="10:10" x14ac:dyDescent="0.25">
      <c r="J1240" s="218"/>
    </row>
    <row r="1241" spans="10:10" x14ac:dyDescent="0.25">
      <c r="J1241" s="218"/>
    </row>
    <row r="1242" spans="10:10" x14ac:dyDescent="0.25">
      <c r="J1242" s="218"/>
    </row>
    <row r="1243" spans="10:10" x14ac:dyDescent="0.25">
      <c r="J1243" s="218"/>
    </row>
    <row r="1244" spans="10:10" x14ac:dyDescent="0.25">
      <c r="J1244" s="218"/>
    </row>
    <row r="1245" spans="10:10" x14ac:dyDescent="0.25">
      <c r="J1245" s="218"/>
    </row>
    <row r="1246" spans="10:10" x14ac:dyDescent="0.25">
      <c r="J1246" s="218"/>
    </row>
    <row r="1247" spans="10:10" x14ac:dyDescent="0.25">
      <c r="J1247" s="218"/>
    </row>
    <row r="1248" spans="10:10" x14ac:dyDescent="0.25">
      <c r="J1248" s="218"/>
    </row>
    <row r="1249" spans="10:10" x14ac:dyDescent="0.25">
      <c r="J1249" s="218"/>
    </row>
    <row r="1250" spans="10:10" x14ac:dyDescent="0.25">
      <c r="J1250" s="218"/>
    </row>
    <row r="1251" spans="10:10" x14ac:dyDescent="0.25">
      <c r="J1251" s="218"/>
    </row>
    <row r="1252" spans="10:10" x14ac:dyDescent="0.25">
      <c r="J1252" s="218"/>
    </row>
    <row r="1253" spans="10:10" x14ac:dyDescent="0.25">
      <c r="J1253" s="218"/>
    </row>
    <row r="1254" spans="10:10" x14ac:dyDescent="0.25">
      <c r="J1254" s="218"/>
    </row>
    <row r="1255" spans="10:10" x14ac:dyDescent="0.25">
      <c r="J1255" s="218"/>
    </row>
    <row r="1256" spans="10:10" x14ac:dyDescent="0.25">
      <c r="J1256" s="218"/>
    </row>
    <row r="1257" spans="10:10" x14ac:dyDescent="0.25">
      <c r="J1257" s="218"/>
    </row>
    <row r="1258" spans="10:10" x14ac:dyDescent="0.25">
      <c r="J1258" s="218"/>
    </row>
    <row r="1259" spans="10:10" x14ac:dyDescent="0.25">
      <c r="J1259" s="218"/>
    </row>
    <row r="1260" spans="10:10" x14ac:dyDescent="0.25">
      <c r="J1260" s="218"/>
    </row>
    <row r="1261" spans="10:10" x14ac:dyDescent="0.25">
      <c r="J1261" s="218"/>
    </row>
    <row r="1262" spans="10:10" x14ac:dyDescent="0.25">
      <c r="J1262" s="218"/>
    </row>
    <row r="1263" spans="10:10" x14ac:dyDescent="0.25">
      <c r="J1263" s="218"/>
    </row>
    <row r="1264" spans="10:10" x14ac:dyDescent="0.25">
      <c r="J1264" s="218"/>
    </row>
    <row r="1265" spans="10:10" x14ac:dyDescent="0.25">
      <c r="J1265" s="218"/>
    </row>
    <row r="1266" spans="10:10" x14ac:dyDescent="0.25">
      <c r="J1266" s="218"/>
    </row>
    <row r="1267" spans="10:10" x14ac:dyDescent="0.25">
      <c r="J1267" s="218"/>
    </row>
    <row r="1268" spans="10:10" x14ac:dyDescent="0.25">
      <c r="J1268" s="218"/>
    </row>
    <row r="1269" spans="10:10" x14ac:dyDescent="0.25">
      <c r="J1269" s="218"/>
    </row>
    <row r="1270" spans="10:10" x14ac:dyDescent="0.25">
      <c r="J1270" s="218"/>
    </row>
    <row r="1271" spans="10:10" x14ac:dyDescent="0.25">
      <c r="J1271" s="218"/>
    </row>
    <row r="1272" spans="10:10" x14ac:dyDescent="0.25">
      <c r="J1272" s="218"/>
    </row>
    <row r="1273" spans="10:10" x14ac:dyDescent="0.25">
      <c r="J1273" s="218"/>
    </row>
    <row r="1274" spans="10:10" x14ac:dyDescent="0.25">
      <c r="J1274" s="218"/>
    </row>
    <row r="1275" spans="10:10" x14ac:dyDescent="0.25">
      <c r="J1275" s="218"/>
    </row>
    <row r="1276" spans="10:10" x14ac:dyDescent="0.25">
      <c r="J1276" s="218"/>
    </row>
    <row r="1277" spans="10:10" x14ac:dyDescent="0.25">
      <c r="J1277" s="218"/>
    </row>
    <row r="1278" spans="10:10" x14ac:dyDescent="0.25">
      <c r="J1278" s="218"/>
    </row>
    <row r="1279" spans="10:10" x14ac:dyDescent="0.25">
      <c r="J1279" s="218"/>
    </row>
    <row r="1280" spans="10:10" x14ac:dyDescent="0.25">
      <c r="J1280" s="218"/>
    </row>
    <row r="1281" spans="10:10" x14ac:dyDescent="0.25">
      <c r="J1281" s="218"/>
    </row>
    <row r="1282" spans="10:10" x14ac:dyDescent="0.25">
      <c r="J1282" s="218"/>
    </row>
    <row r="1283" spans="10:10" x14ac:dyDescent="0.25">
      <c r="J1283" s="218"/>
    </row>
    <row r="1284" spans="10:10" x14ac:dyDescent="0.25">
      <c r="J1284" s="218"/>
    </row>
    <row r="1285" spans="10:10" x14ac:dyDescent="0.25">
      <c r="J1285" s="218"/>
    </row>
    <row r="1286" spans="10:10" x14ac:dyDescent="0.25">
      <c r="J1286" s="218"/>
    </row>
    <row r="1287" spans="10:10" x14ac:dyDescent="0.25">
      <c r="J1287" s="218"/>
    </row>
    <row r="1288" spans="10:10" x14ac:dyDescent="0.25">
      <c r="J1288" s="218"/>
    </row>
    <row r="1289" spans="10:10" x14ac:dyDescent="0.25">
      <c r="J1289" s="218"/>
    </row>
    <row r="1290" spans="10:10" x14ac:dyDescent="0.25">
      <c r="J1290" s="218"/>
    </row>
    <row r="1291" spans="10:10" x14ac:dyDescent="0.25">
      <c r="J1291" s="218"/>
    </row>
    <row r="1292" spans="10:10" x14ac:dyDescent="0.25">
      <c r="J1292" s="218"/>
    </row>
    <row r="1293" spans="10:10" x14ac:dyDescent="0.25">
      <c r="J1293" s="218"/>
    </row>
    <row r="1294" spans="10:10" x14ac:dyDescent="0.25">
      <c r="J1294" s="218"/>
    </row>
    <row r="1295" spans="10:10" x14ac:dyDescent="0.25">
      <c r="J1295" s="218"/>
    </row>
    <row r="1296" spans="10:10" x14ac:dyDescent="0.25">
      <c r="J1296" s="218"/>
    </row>
    <row r="1297" spans="10:10" x14ac:dyDescent="0.25">
      <c r="J1297" s="218"/>
    </row>
    <row r="1298" spans="10:10" x14ac:dyDescent="0.25">
      <c r="J1298" s="218"/>
    </row>
    <row r="1299" spans="10:10" x14ac:dyDescent="0.25">
      <c r="J1299" s="218"/>
    </row>
    <row r="1300" spans="10:10" x14ac:dyDescent="0.25">
      <c r="J1300" s="218"/>
    </row>
    <row r="1301" spans="10:10" x14ac:dyDescent="0.25">
      <c r="J1301" s="218"/>
    </row>
    <row r="1302" spans="10:10" x14ac:dyDescent="0.25">
      <c r="J1302" s="218"/>
    </row>
    <row r="1303" spans="10:10" x14ac:dyDescent="0.25">
      <c r="J1303" s="218"/>
    </row>
    <row r="1304" spans="10:10" x14ac:dyDescent="0.25">
      <c r="J1304" s="218"/>
    </row>
    <row r="1305" spans="10:10" x14ac:dyDescent="0.25">
      <c r="J1305" s="218"/>
    </row>
    <row r="1306" spans="10:10" x14ac:dyDescent="0.25">
      <c r="J1306" s="218"/>
    </row>
  </sheetData>
  <mergeCells count="254">
    <mergeCell ref="A611:A612"/>
    <mergeCell ref="C339:E339"/>
    <mergeCell ref="A411:A417"/>
    <mergeCell ref="B411:B417"/>
    <mergeCell ref="E418:I418"/>
    <mergeCell ref="E419:H419"/>
    <mergeCell ref="B420:B424"/>
    <mergeCell ref="A420:A424"/>
    <mergeCell ref="B432:B438"/>
    <mergeCell ref="A432:A438"/>
    <mergeCell ref="A393:A399"/>
    <mergeCell ref="B393:B399"/>
    <mergeCell ref="E400:I400"/>
    <mergeCell ref="A402:A408"/>
    <mergeCell ref="B402:B408"/>
    <mergeCell ref="A429:A431"/>
    <mergeCell ref="B429:B431"/>
    <mergeCell ref="C410:E410"/>
    <mergeCell ref="C344:H344"/>
    <mergeCell ref="C346:F346"/>
    <mergeCell ref="A425:A427"/>
    <mergeCell ref="A383:A389"/>
    <mergeCell ref="C604:I604"/>
    <mergeCell ref="C610:I610"/>
    <mergeCell ref="A9:A12"/>
    <mergeCell ref="B9:B12"/>
    <mergeCell ref="B383:B389"/>
    <mergeCell ref="E390:I390"/>
    <mergeCell ref="C291:F291"/>
    <mergeCell ref="A292:A298"/>
    <mergeCell ref="B292:B298"/>
    <mergeCell ref="C313:E313"/>
    <mergeCell ref="C322:G322"/>
    <mergeCell ref="C318:H318"/>
    <mergeCell ref="C320:F320"/>
    <mergeCell ref="C297:I297"/>
    <mergeCell ref="C61:E61"/>
    <mergeCell ref="C62:E62"/>
    <mergeCell ref="H52:I52"/>
    <mergeCell ref="C91:E91"/>
    <mergeCell ref="C92:E92"/>
    <mergeCell ref="E95:G95"/>
    <mergeCell ref="C195:I195"/>
    <mergeCell ref="A252:A258"/>
    <mergeCell ref="C229:H229"/>
    <mergeCell ref="C233:D233"/>
    <mergeCell ref="C253:H253"/>
    <mergeCell ref="A213:A215"/>
    <mergeCell ref="A1:K1"/>
    <mergeCell ref="J2:K2"/>
    <mergeCell ref="J3:K3"/>
    <mergeCell ref="C3:I3"/>
    <mergeCell ref="C2:I2"/>
    <mergeCell ref="C4:G4"/>
    <mergeCell ref="C5:D5"/>
    <mergeCell ref="C6:G6"/>
    <mergeCell ref="C106:E106"/>
    <mergeCell ref="C71:E71"/>
    <mergeCell ref="C77:E77"/>
    <mergeCell ref="C98:H98"/>
    <mergeCell ref="A4:A8"/>
    <mergeCell ref="B4:B8"/>
    <mergeCell ref="B19:B28"/>
    <mergeCell ref="C34:E34"/>
    <mergeCell ref="C35:E35"/>
    <mergeCell ref="C10:F10"/>
    <mergeCell ref="A13:A18"/>
    <mergeCell ref="B13:B18"/>
    <mergeCell ref="C17:F17"/>
    <mergeCell ref="C24:D24"/>
    <mergeCell ref="C26:E26"/>
    <mergeCell ref="C27:G27"/>
    <mergeCell ref="B213:B218"/>
    <mergeCell ref="B252:B258"/>
    <mergeCell ref="B220:B226"/>
    <mergeCell ref="A220:A226"/>
    <mergeCell ref="C210:F210"/>
    <mergeCell ref="C241:I241"/>
    <mergeCell ref="C246:D246"/>
    <mergeCell ref="C187:E187"/>
    <mergeCell ref="C189:F189"/>
    <mergeCell ref="C190:F190"/>
    <mergeCell ref="C193:F193"/>
    <mergeCell ref="C200:G200"/>
    <mergeCell ref="C202:E202"/>
    <mergeCell ref="C205:F205"/>
    <mergeCell ref="C206:F206"/>
    <mergeCell ref="C215:F215"/>
    <mergeCell ref="C216:D216"/>
    <mergeCell ref="B425:B427"/>
    <mergeCell ref="C441:G441"/>
    <mergeCell ref="C453:G453"/>
    <mergeCell ref="C455:G455"/>
    <mergeCell ref="C457:G457"/>
    <mergeCell ref="C459:G459"/>
    <mergeCell ref="F462:G462"/>
    <mergeCell ref="C463:E463"/>
    <mergeCell ref="C466:E466"/>
    <mergeCell ref="C518:G518"/>
    <mergeCell ref="C43:H43"/>
    <mergeCell ref="C491:H491"/>
    <mergeCell ref="C476:J479"/>
    <mergeCell ref="C480:D480"/>
    <mergeCell ref="C481:F481"/>
    <mergeCell ref="C482:D482"/>
    <mergeCell ref="C483:D483"/>
    <mergeCell ref="D484:H484"/>
    <mergeCell ref="C470:E470"/>
    <mergeCell ref="F473:H473"/>
    <mergeCell ref="C468:E468"/>
    <mergeCell ref="C159:E159"/>
    <mergeCell ref="C160:G160"/>
    <mergeCell ref="C161:E161"/>
    <mergeCell ref="C162:D162"/>
    <mergeCell ref="C142:F142"/>
    <mergeCell ref="C137:D137"/>
    <mergeCell ref="C151:D151"/>
    <mergeCell ref="C132:D132"/>
    <mergeCell ref="C133:H133"/>
    <mergeCell ref="C145:H145"/>
    <mergeCell ref="C277:I277"/>
    <mergeCell ref="C281:D281"/>
    <mergeCell ref="C602:E602"/>
    <mergeCell ref="B604:B610"/>
    <mergeCell ref="A476:A477"/>
    <mergeCell ref="B476:B483"/>
    <mergeCell ref="C486:F486"/>
    <mergeCell ref="A586:A587"/>
    <mergeCell ref="B586:B596"/>
    <mergeCell ref="F514:G514"/>
    <mergeCell ref="C487:H487"/>
    <mergeCell ref="C489:H489"/>
    <mergeCell ref="C606:I606"/>
    <mergeCell ref="A537:A538"/>
    <mergeCell ref="C549:E549"/>
    <mergeCell ref="C551:E551"/>
    <mergeCell ref="C564:E564"/>
    <mergeCell ref="C548:E548"/>
    <mergeCell ref="B537:B547"/>
    <mergeCell ref="C541:D541"/>
    <mergeCell ref="C542:F542"/>
    <mergeCell ref="C543:D543"/>
    <mergeCell ref="C544:D544"/>
    <mergeCell ref="D545:H545"/>
    <mergeCell ref="C546:H546"/>
    <mergeCell ref="C516:E516"/>
    <mergeCell ref="C348:G348"/>
    <mergeCell ref="C601:F601"/>
    <mergeCell ref="C600:H600"/>
    <mergeCell ref="F573:G573"/>
    <mergeCell ref="C575:E575"/>
    <mergeCell ref="F582:H582"/>
    <mergeCell ref="C559:E559"/>
    <mergeCell ref="C568:E568"/>
    <mergeCell ref="C520:G520"/>
    <mergeCell ref="C524:F524"/>
    <mergeCell ref="F532:H532"/>
    <mergeCell ref="C494:H494"/>
    <mergeCell ref="C496:G496"/>
    <mergeCell ref="C498:F498"/>
    <mergeCell ref="C499:G499"/>
    <mergeCell ref="C501:G501"/>
    <mergeCell ref="E511:G511"/>
    <mergeCell ref="E426:H426"/>
    <mergeCell ref="C394:I394"/>
    <mergeCell ref="C384:I384"/>
    <mergeCell ref="C387:I387"/>
    <mergeCell ref="C396:I396"/>
    <mergeCell ref="C405:I405"/>
    <mergeCell ref="C407:I407"/>
    <mergeCell ref="B158:B163"/>
    <mergeCell ref="B144:B149"/>
    <mergeCell ref="C136:E136"/>
    <mergeCell ref="B132:B135"/>
    <mergeCell ref="C141:E141"/>
    <mergeCell ref="C138:D138"/>
    <mergeCell ref="C120:I120"/>
    <mergeCell ref="C126:F126"/>
    <mergeCell ref="C127:E127"/>
    <mergeCell ref="C130:E130"/>
    <mergeCell ref="C144:D144"/>
    <mergeCell ref="C150:D150"/>
    <mergeCell ref="C128:E128"/>
    <mergeCell ref="C19:H19"/>
    <mergeCell ref="C21:E21"/>
    <mergeCell ref="C22:G22"/>
    <mergeCell ref="C23:E23"/>
    <mergeCell ref="C97:I97"/>
    <mergeCell ref="C164:I164"/>
    <mergeCell ref="M331:P331"/>
    <mergeCell ref="C152:D152"/>
    <mergeCell ref="C154:E154"/>
    <mergeCell ref="C119:E119"/>
    <mergeCell ref="C118:F118"/>
    <mergeCell ref="C225:D225"/>
    <mergeCell ref="C108:H108"/>
    <mergeCell ref="C114:F114"/>
    <mergeCell ref="C115:E115"/>
    <mergeCell ref="C170:H170"/>
    <mergeCell ref="C221:H221"/>
    <mergeCell ref="C156:D156"/>
    <mergeCell ref="C214:D214"/>
    <mergeCell ref="P329:S329"/>
    <mergeCell ref="C179:E179"/>
    <mergeCell ref="C186:H186"/>
    <mergeCell ref="C327:H327"/>
    <mergeCell ref="C284:E284"/>
    <mergeCell ref="C304:I304"/>
    <mergeCell ref="C28:I28"/>
    <mergeCell ref="C55:E55"/>
    <mergeCell ref="C56:E56"/>
    <mergeCell ref="C51:I51"/>
    <mergeCell ref="C81:I81"/>
    <mergeCell ref="C85:E85"/>
    <mergeCell ref="C67:I67"/>
    <mergeCell ref="C47:E47"/>
    <mergeCell ref="C45:E45"/>
    <mergeCell ref="C50:E50"/>
    <mergeCell ref="C72:E72"/>
    <mergeCell ref="C78:E78"/>
    <mergeCell ref="C41:E41"/>
    <mergeCell ref="C42:E42"/>
    <mergeCell ref="C287:D287"/>
    <mergeCell ref="C257:D257"/>
    <mergeCell ref="C219:G219"/>
    <mergeCell ref="C165:H165"/>
    <mergeCell ref="C177:G177"/>
    <mergeCell ref="C183:F183"/>
    <mergeCell ref="C182:F182"/>
    <mergeCell ref="C105:F105"/>
    <mergeCell ref="J30:K30"/>
    <mergeCell ref="J68:K68"/>
    <mergeCell ref="C235:H235"/>
    <mergeCell ref="C139:D139"/>
    <mergeCell ref="C237:D237"/>
    <mergeCell ref="C266:H266"/>
    <mergeCell ref="C268:D268"/>
    <mergeCell ref="E430:F430"/>
    <mergeCell ref="C260:H260"/>
    <mergeCell ref="C264:D264"/>
    <mergeCell ref="C300:H300"/>
    <mergeCell ref="C328:H328"/>
    <mergeCell ref="E331:H331"/>
    <mergeCell ref="G352:H352"/>
    <mergeCell ref="C272:F272"/>
    <mergeCell ref="C273:D273"/>
    <mergeCell ref="C86:E86"/>
    <mergeCell ref="C252:I252"/>
    <mergeCell ref="C353:I353"/>
    <mergeCell ref="C366:E366"/>
    <mergeCell ref="C371:H371"/>
    <mergeCell ref="C373:F373"/>
    <mergeCell ref="C375:G375"/>
    <mergeCell ref="C37:E37"/>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EARTH CALCULATION</vt:lpstr>
      <vt:lpstr>ABSTRACT</vt:lpstr>
      <vt:lpstr>DETAILED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2022-11-22T11:57:12Z</dcterms:modified>
</cp:coreProperties>
</file>