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5330" windowHeight="8580"/>
  </bookViews>
  <sheets>
    <sheet name="STRUCT1" sheetId="1" r:id="rId1"/>
  </sheets>
  <definedNames>
    <definedName name="\p">STRUCT1!#REF!</definedName>
    <definedName name="_Regression_Int" localSheetId="0" hidden="1">1</definedName>
    <definedName name="_ST1">STRUCT1!$A$1:$K$31</definedName>
    <definedName name="_ST2">STRUCT1!$A$35:$K$347</definedName>
    <definedName name="_ST3">STRUCT1!$A$348:$K$377</definedName>
    <definedName name="_ST4">STRUCT1!$A$378:$P$407</definedName>
    <definedName name="_ST5">STRUCT1!$A$408:$K$865</definedName>
    <definedName name="_ST6">STRUCT1!$A$866:$K$942</definedName>
    <definedName name="_ST7">STRUCT1!$A$943:$K$962</definedName>
    <definedName name="_ST8">STRUCT1!$A$963:$N$972</definedName>
    <definedName name="PAGE">STRUCT1!$M$22</definedName>
    <definedName name="_xlnm.Print_Area" localSheetId="0">STRUCT1!$A$1:$K$88</definedName>
    <definedName name="Print_Area_MI" localSheetId="0">STRUCT1!$A$1:$K$88</definedName>
    <definedName name="VENTS">STRUCT1!$E$28</definedName>
  </definedNames>
  <calcPr calcId="124519"/>
</workbook>
</file>

<file path=xl/calcChain.xml><?xml version="1.0" encoding="utf-8"?>
<calcChain xmlns="http://schemas.openxmlformats.org/spreadsheetml/2006/main">
  <c r="K73" i="1"/>
  <c r="J73"/>
  <c r="J80"/>
  <c r="F80"/>
  <c r="E61"/>
  <c r="H61"/>
  <c r="G61"/>
  <c r="E51"/>
  <c r="E48"/>
  <c r="H45"/>
  <c r="F44"/>
  <c r="F45" s="1"/>
  <c r="E46"/>
  <c r="F42"/>
  <c r="H51"/>
  <c r="F51"/>
  <c r="H43"/>
  <c r="H41"/>
  <c r="E31"/>
  <c r="G51" s="1"/>
  <c r="F41"/>
  <c r="I17"/>
  <c r="F27"/>
  <c r="F28"/>
  <c r="E41"/>
  <c r="E42"/>
  <c r="G42"/>
  <c r="H42"/>
  <c r="E43"/>
  <c r="F43"/>
  <c r="G43"/>
  <c r="E44"/>
  <c r="E45" s="1"/>
  <c r="G44"/>
  <c r="G45" s="1"/>
  <c r="H44"/>
  <c r="F46"/>
  <c r="G46"/>
  <c r="H46"/>
  <c r="E47"/>
  <c r="F47"/>
  <c r="G47"/>
  <c r="H47"/>
  <c r="F48"/>
  <c r="G48"/>
  <c r="H48"/>
  <c r="E56"/>
  <c r="F56"/>
  <c r="G56"/>
  <c r="H56"/>
  <c r="E57"/>
  <c r="F57"/>
  <c r="G57"/>
  <c r="H57"/>
  <c r="E58"/>
  <c r="F58"/>
  <c r="G58"/>
  <c r="H58"/>
  <c r="D66"/>
  <c r="E66"/>
  <c r="F66"/>
  <c r="G66"/>
  <c r="D67"/>
  <c r="E67"/>
  <c r="F67"/>
  <c r="G67"/>
  <c r="H66" l="1"/>
  <c r="I66" s="1"/>
  <c r="F61"/>
  <c r="J61" s="1"/>
  <c r="G41"/>
  <c r="J46"/>
  <c r="K46" s="1"/>
  <c r="J48"/>
  <c r="K48" s="1"/>
  <c r="H67"/>
  <c r="J45"/>
  <c r="K45" s="1"/>
  <c r="J58"/>
  <c r="K58" s="1"/>
  <c r="J57"/>
  <c r="K57" s="1"/>
  <c r="J47"/>
  <c r="K47" s="1"/>
  <c r="J42"/>
  <c r="K42" s="1"/>
  <c r="J51"/>
  <c r="J41"/>
  <c r="J44"/>
  <c r="K44" s="1"/>
  <c r="J43"/>
  <c r="K43" s="1"/>
  <c r="J56"/>
  <c r="K56" s="1"/>
  <c r="K59" s="1"/>
  <c r="H82" l="1"/>
  <c r="K61"/>
  <c r="F74"/>
  <c r="F82"/>
  <c r="J82" s="1"/>
  <c r="H87" s="1"/>
  <c r="I67"/>
  <c r="J59"/>
  <c r="F71" s="1"/>
  <c r="G71" s="1"/>
  <c r="K51"/>
  <c r="K41"/>
  <c r="K49" s="1"/>
  <c r="J49"/>
  <c r="J52" s="1"/>
  <c r="F70" s="1"/>
  <c r="F73" s="1"/>
  <c r="H73" s="1"/>
  <c r="H85" l="1"/>
  <c r="H74"/>
  <c r="F76"/>
  <c r="H76" s="1"/>
  <c r="F78" s="1"/>
  <c r="G70"/>
  <c r="F79" s="1"/>
  <c r="K52"/>
  <c r="F87"/>
  <c r="J87" s="1"/>
  <c r="F85" l="1"/>
  <c r="J85" s="1"/>
</calcChain>
</file>

<file path=xl/sharedStrings.xml><?xml version="1.0" encoding="utf-8"?>
<sst xmlns="http://schemas.openxmlformats.org/spreadsheetml/2006/main" count="140" uniqueCount="90">
  <si>
    <t>1.0  STABILITY ANALYSIS</t>
  </si>
  <si>
    <t>Embankment Crest Level  --&gt;</t>
  </si>
  <si>
    <t>m</t>
  </si>
  <si>
    <t>Bottom Slab Level       --&gt;</t>
  </si>
  <si>
    <t>Top Slab Level          --&gt;</t>
  </si>
  <si>
    <t xml:space="preserve">    Design U/S Water Level  --&gt;</t>
  </si>
  <si>
    <t xml:space="preserve">    Design D/S Water Level  --&gt;</t>
  </si>
  <si>
    <t xml:space="preserve">H.G.L Level at U/S      --&gt; </t>
  </si>
  <si>
    <t>H.G.L Level at D/S      --&gt;</t>
  </si>
  <si>
    <t>Unit Weight of Steel    --&gt;</t>
  </si>
  <si>
    <t>KN/m³</t>
  </si>
  <si>
    <t>Unit Weight of Concrete --&gt;</t>
  </si>
  <si>
    <t>Unit Weight of Soil     --&gt;</t>
  </si>
  <si>
    <t>Hydraulic Load          --&gt;</t>
  </si>
  <si>
    <t>KN/m²</t>
  </si>
  <si>
    <t>Live Load               --&gt;</t>
  </si>
  <si>
    <t>Angle of Internal Friction (ø)  --&gt;</t>
  </si>
  <si>
    <t>°</t>
  </si>
  <si>
    <t>Coeff. of Active Earth Pressure (Ca)  =  (1-sinø)/(1+sinø)  =</t>
  </si>
  <si>
    <t>Headwall Top Thickness  --&gt;</t>
  </si>
  <si>
    <t>mm</t>
  </si>
  <si>
    <t>Headwall Bottom Thickness-&gt;</t>
  </si>
  <si>
    <t>Top Slab Thickness      --&gt;</t>
  </si>
  <si>
    <t>Bottom Slab Thickness   --&gt;</t>
  </si>
  <si>
    <t>Abutment Top Thickness  --&gt;</t>
  </si>
  <si>
    <t>Abutment(Ext) Top Thick --&gt;</t>
  </si>
  <si>
    <t>Abutment Bottom Thickness-&gt;</t>
  </si>
  <si>
    <t>Pier Thickness          --&gt;</t>
  </si>
  <si>
    <t>No. of Vents            --&gt;</t>
  </si>
  <si>
    <t>Inside Height of Barrel --&gt;</t>
  </si>
  <si>
    <t>Inside Width of Barrel  --&gt;</t>
  </si>
  <si>
    <t>Width of Barrel           =</t>
  </si>
  <si>
    <t>Embankment Crest Width  --&gt;</t>
  </si>
  <si>
    <t>Extended Part of Pier   --&gt;</t>
  </si>
  <si>
    <t>Length of Barrel          =</t>
  </si>
  <si>
    <t>1.2  DETAIL LOADS AND PRESSURES</t>
  </si>
  <si>
    <t>1. Concrete &amp; Earthload</t>
  </si>
  <si>
    <t>Top Slab         :</t>
  </si>
  <si>
    <t xml:space="preserve">   =</t>
  </si>
  <si>
    <t xml:space="preserve">Base Slab        : </t>
  </si>
  <si>
    <t>Head Wall        :</t>
  </si>
  <si>
    <t>Pier(Barrel)</t>
  </si>
  <si>
    <t>Abutment(Extended)</t>
  </si>
  <si>
    <t>Abutment(Barrel) :</t>
  </si>
  <si>
    <t>-</t>
  </si>
  <si>
    <t>Earth(Embk)</t>
  </si>
  <si>
    <t>ankment):</t>
  </si>
  <si>
    <t>2. Water Load</t>
  </si>
  <si>
    <t>Upstream Part   :</t>
  </si>
  <si>
    <t>Downstream Part :</t>
  </si>
  <si>
    <t>Central Part    :</t>
  </si>
  <si>
    <t>3. Uplift       :</t>
  </si>
  <si>
    <t>4. Water Pressure</t>
  </si>
  <si>
    <t>From U/S to D/S</t>
  </si>
  <si>
    <t>From D/S to U/S</t>
  </si>
  <si>
    <t>1.3  SUMMARY OF LOADS AND PRESSURES</t>
  </si>
  <si>
    <t>Water Load</t>
  </si>
  <si>
    <t xml:space="preserve">       =</t>
  </si>
  <si>
    <t>Total Downward Load</t>
  </si>
  <si>
    <t>d</t>
  </si>
  <si>
    <t>KN</t>
  </si>
  <si>
    <t>Uplift ( Upward Load )</t>
  </si>
  <si>
    <t>=</t>
  </si>
  <si>
    <t>Net Downward Load</t>
  </si>
  <si>
    <t>Net Water Pressure</t>
  </si>
  <si>
    <t xml:space="preserve">     -</t>
  </si>
  <si>
    <t xml:space="preserve">     =</t>
  </si>
  <si>
    <t>1.4  FACTOR OF SAFETY</t>
  </si>
  <si>
    <t>Uplift</t>
  </si>
  <si>
    <t xml:space="preserve">      /</t>
  </si>
  <si>
    <t>&gt; 1.1</t>
  </si>
  <si>
    <t xml:space="preserve">  Hence O.K.</t>
  </si>
  <si>
    <t>Sliding</t>
  </si>
  <si>
    <t xml:space="preserve">       *</t>
  </si>
  <si>
    <t>&gt; 1.5</t>
  </si>
  <si>
    <t>Pier(Extended) R/S</t>
  </si>
  <si>
    <t>Pier(Extended) C/S</t>
  </si>
  <si>
    <t>Position                                                       Depth                Width            Length        Weight                                Load</t>
  </si>
  <si>
    <t xml:space="preserve">    (m)                     (m)                  (m)              (KN/m³)                              (KN)</t>
  </si>
  <si>
    <t xml:space="preserve">  No.Vent               Width            Depth       Weight             Load</t>
  </si>
  <si>
    <t xml:space="preserve">            (m)                 (m)          (KN/m³)           (KN)</t>
  </si>
  <si>
    <t>Member                                   No.           Thick      Length    Width    Weight                              Load</t>
  </si>
  <si>
    <t xml:space="preserve">            (m)             (m)      (m)      (KN/m³)                                (KN)</t>
  </si>
  <si>
    <t>Downward Pressure(without water)</t>
  </si>
  <si>
    <t>Downward Pressure</t>
  </si>
  <si>
    <t>(with water)</t>
  </si>
  <si>
    <t>(without water)</t>
  </si>
  <si>
    <t>Downward Pressure( Apron)</t>
  </si>
  <si>
    <t xml:space="preserve">Concrete &amp; Soil Load             </t>
  </si>
  <si>
    <t>2 v cen part</t>
  </si>
</sst>
</file>

<file path=xl/styles.xml><?xml version="1.0" encoding="utf-8"?>
<styleSheet xmlns="http://schemas.openxmlformats.org/spreadsheetml/2006/main">
  <numFmts count="5">
    <numFmt numFmtId="164" formatCode="0.00_)"/>
    <numFmt numFmtId="165" formatCode="0_)"/>
    <numFmt numFmtId="166" formatCode="0.00\ &quot;ton&quot;"/>
    <numFmt numFmtId="167" formatCode="0.000"/>
    <numFmt numFmtId="168" formatCode="0.00\ &quot;tsf&quot;"/>
  </numFmts>
  <fonts count="3">
    <font>
      <sz val="12"/>
      <name val="Helv"/>
    </font>
    <font>
      <sz val="12"/>
      <color indexed="12"/>
      <name val="Helv"/>
    </font>
    <font>
      <b/>
      <u/>
      <sz val="12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22">
    <xf numFmtId="164" fontId="0" fillId="0" borderId="0" xfId="0"/>
    <xf numFmtId="164" fontId="0" fillId="0" borderId="0" xfId="0" applyAlignment="1" applyProtection="1">
      <alignment horizontal="left"/>
    </xf>
    <xf numFmtId="164" fontId="1" fillId="0" borderId="0" xfId="0" applyFont="1" applyProtection="1">
      <protection locked="0"/>
    </xf>
    <xf numFmtId="165" fontId="1" fillId="0" borderId="0" xfId="0" applyNumberFormat="1" applyFont="1" applyProtection="1">
      <protection locked="0"/>
    </xf>
    <xf numFmtId="164" fontId="0" fillId="0" borderId="0" xfId="0" applyProtection="1"/>
    <xf numFmtId="165" fontId="0" fillId="0" borderId="0" xfId="0" applyNumberFormat="1" applyProtection="1"/>
    <xf numFmtId="164" fontId="0" fillId="0" borderId="0" xfId="0" applyAlignment="1" applyProtection="1">
      <alignment horizontal="fill"/>
    </xf>
    <xf numFmtId="164" fontId="0" fillId="0" borderId="0" xfId="0" applyAlignment="1" applyProtection="1">
      <alignment horizontal="left"/>
    </xf>
    <xf numFmtId="166" fontId="0" fillId="0" borderId="0" xfId="0" applyNumberFormat="1"/>
    <xf numFmtId="167" fontId="0" fillId="0" borderId="0" xfId="0" applyNumberFormat="1" applyProtection="1"/>
    <xf numFmtId="164" fontId="0" fillId="0" borderId="1" xfId="0" applyBorder="1" applyProtection="1"/>
    <xf numFmtId="166" fontId="0" fillId="0" borderId="1" xfId="0" applyNumberFormat="1" applyBorder="1"/>
    <xf numFmtId="164" fontId="0" fillId="0" borderId="0" xfId="0" applyAlignment="1" applyProtection="1">
      <alignment horizontal="right"/>
    </xf>
    <xf numFmtId="166" fontId="0" fillId="0" borderId="0" xfId="0" applyNumberForma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8" fontId="0" fillId="0" borderId="0" xfId="0" applyNumberFormat="1"/>
    <xf numFmtId="164" fontId="0" fillId="0" borderId="0" xfId="0" applyAlignment="1" applyProtection="1">
      <alignment horizontal="left"/>
    </xf>
    <xf numFmtId="164" fontId="0" fillId="0" borderId="0" xfId="0" applyAlignment="1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Alignment="1" applyProtection="1">
      <alignment horizontal="left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transitionEntry="1"/>
  <dimension ref="A1:K88"/>
  <sheetViews>
    <sheetView tabSelected="1" topLeftCell="A41" workbookViewId="0">
      <selection activeCell="E41" sqref="E41"/>
    </sheetView>
  </sheetViews>
  <sheetFormatPr defaultColWidth="9.77734375" defaultRowHeight="15.75"/>
  <cols>
    <col min="1" max="1" width="1.6640625" customWidth="1"/>
    <col min="4" max="4" width="5.77734375" customWidth="1"/>
    <col min="6" max="6" width="8" bestFit="1" customWidth="1"/>
    <col min="7" max="7" width="5" bestFit="1" customWidth="1"/>
    <col min="8" max="8" width="8" bestFit="1" customWidth="1"/>
    <col min="9" max="9" width="8.44140625" bestFit="1" customWidth="1"/>
    <col min="10" max="10" width="10.88671875" bestFit="1" customWidth="1"/>
  </cols>
  <sheetData>
    <row r="1" spans="1:9">
      <c r="A1" s="14" t="s">
        <v>0</v>
      </c>
    </row>
    <row r="2" spans="1:9">
      <c r="B2" s="1" t="s">
        <v>1</v>
      </c>
      <c r="E2" s="2">
        <v>5</v>
      </c>
      <c r="F2" s="1" t="s">
        <v>2</v>
      </c>
      <c r="I2" s="2"/>
    </row>
    <row r="3" spans="1:9">
      <c r="B3" s="1" t="s">
        <v>3</v>
      </c>
      <c r="E3" s="2">
        <v>-0.9</v>
      </c>
      <c r="F3" s="1" t="s">
        <v>2</v>
      </c>
      <c r="I3" s="2"/>
    </row>
    <row r="4" spans="1:9">
      <c r="B4" s="1" t="s">
        <v>4</v>
      </c>
      <c r="E4" s="2">
        <v>1.3</v>
      </c>
      <c r="F4" s="1" t="s">
        <v>2</v>
      </c>
      <c r="I4" s="2"/>
    </row>
    <row r="5" spans="1:9">
      <c r="A5" s="1" t="s">
        <v>5</v>
      </c>
      <c r="E5" s="2">
        <v>2.95</v>
      </c>
      <c r="F5" s="1" t="s">
        <v>2</v>
      </c>
      <c r="I5" s="2"/>
    </row>
    <row r="6" spans="1:9">
      <c r="A6" s="1" t="s">
        <v>6</v>
      </c>
      <c r="E6" s="2">
        <v>3.95</v>
      </c>
      <c r="F6" s="1" t="s">
        <v>2</v>
      </c>
      <c r="I6" s="2"/>
    </row>
    <row r="7" spans="1:9">
      <c r="B7" s="1" t="s">
        <v>7</v>
      </c>
      <c r="E7" s="2">
        <v>2.75</v>
      </c>
      <c r="F7" s="1" t="s">
        <v>2</v>
      </c>
      <c r="I7" s="2"/>
    </row>
    <row r="8" spans="1:9">
      <c r="B8" s="1" t="s">
        <v>8</v>
      </c>
      <c r="E8" s="2">
        <v>2.75</v>
      </c>
      <c r="F8" s="1" t="s">
        <v>2</v>
      </c>
      <c r="I8" s="2"/>
    </row>
    <row r="10" spans="1:9">
      <c r="B10" s="1" t="s">
        <v>9</v>
      </c>
      <c r="E10" s="2">
        <v>77</v>
      </c>
      <c r="F10" s="1" t="s">
        <v>10</v>
      </c>
    </row>
    <row r="11" spans="1:9">
      <c r="B11" s="1" t="s">
        <v>11</v>
      </c>
      <c r="E11" s="2">
        <v>23.6</v>
      </c>
      <c r="F11" s="1" t="s">
        <v>10</v>
      </c>
    </row>
    <row r="12" spans="1:9">
      <c r="B12" s="1" t="s">
        <v>12</v>
      </c>
      <c r="E12" s="2">
        <v>18.899999999999999</v>
      </c>
      <c r="F12" s="1" t="s">
        <v>10</v>
      </c>
    </row>
    <row r="13" spans="1:9">
      <c r="B13" s="1" t="s">
        <v>13</v>
      </c>
      <c r="E13" s="2">
        <v>9.81</v>
      </c>
      <c r="F13" s="1" t="s">
        <v>14</v>
      </c>
    </row>
    <row r="14" spans="1:9">
      <c r="B14" s="1" t="s">
        <v>15</v>
      </c>
      <c r="E14" s="2">
        <v>0</v>
      </c>
      <c r="F14" s="1" t="s">
        <v>14</v>
      </c>
    </row>
    <row r="16" spans="1:9">
      <c r="B16" s="1" t="s">
        <v>16</v>
      </c>
      <c r="F16" s="3">
        <v>25</v>
      </c>
      <c r="G16" s="1" t="s">
        <v>17</v>
      </c>
    </row>
    <row r="17" spans="2:9">
      <c r="B17" s="1" t="s">
        <v>18</v>
      </c>
      <c r="I17" s="4">
        <f>(1-SIN(F16*PI()/180))/(1+SIN(F16*PI()/180))</f>
        <v>0.40585851720532728</v>
      </c>
    </row>
    <row r="19" spans="2:9">
      <c r="B19" s="1" t="s">
        <v>19</v>
      </c>
      <c r="E19" s="3">
        <v>300</v>
      </c>
      <c r="F19" s="1" t="s">
        <v>20</v>
      </c>
    </row>
    <row r="20" spans="2:9">
      <c r="B20" s="1" t="s">
        <v>21</v>
      </c>
      <c r="E20" s="3">
        <v>300</v>
      </c>
      <c r="F20" s="1" t="s">
        <v>20</v>
      </c>
    </row>
    <row r="21" spans="2:9">
      <c r="B21" s="1" t="s">
        <v>22</v>
      </c>
      <c r="E21" s="3">
        <v>400</v>
      </c>
      <c r="F21" s="1" t="s">
        <v>20</v>
      </c>
    </row>
    <row r="22" spans="2:9">
      <c r="B22" s="1" t="s">
        <v>23</v>
      </c>
      <c r="E22" s="3">
        <v>425</v>
      </c>
      <c r="F22" s="1" t="s">
        <v>20</v>
      </c>
    </row>
    <row r="23" spans="2:9">
      <c r="B23" s="1" t="s">
        <v>24</v>
      </c>
      <c r="E23" s="3">
        <v>400</v>
      </c>
      <c r="F23" s="1" t="s">
        <v>20</v>
      </c>
    </row>
    <row r="24" spans="2:9">
      <c r="B24" s="1" t="s">
        <v>25</v>
      </c>
      <c r="E24" s="3">
        <v>500</v>
      </c>
      <c r="F24" s="1" t="s">
        <v>20</v>
      </c>
    </row>
    <row r="25" spans="2:9">
      <c r="B25" s="1" t="s">
        <v>26</v>
      </c>
      <c r="E25" s="3">
        <v>400</v>
      </c>
      <c r="F25" s="1" t="s">
        <v>20</v>
      </c>
    </row>
    <row r="26" spans="2:9">
      <c r="B26" s="1" t="s">
        <v>27</v>
      </c>
      <c r="E26" s="3">
        <v>350</v>
      </c>
      <c r="F26" s="1" t="s">
        <v>20</v>
      </c>
    </row>
    <row r="27" spans="2:9">
      <c r="F27" s="4" t="str">
        <f>IF(AND(E28&gt;1,E26=0),"ERROR:  Pier Thickness must be greater than zero!!!","")</f>
        <v/>
      </c>
    </row>
    <row r="28" spans="2:9">
      <c r="B28" s="1" t="s">
        <v>28</v>
      </c>
      <c r="E28" s="3">
        <v>2</v>
      </c>
      <c r="F28" s="4" t="str">
        <f>IF(E28&gt;9,"     ERROR:  The maximum No. of Vents is 9!!!","")</f>
        <v/>
      </c>
    </row>
    <row r="29" spans="2:9">
      <c r="B29" s="1" t="s">
        <v>29</v>
      </c>
      <c r="E29" s="2">
        <v>1.8</v>
      </c>
      <c r="F29" s="1" t="s">
        <v>2</v>
      </c>
    </row>
    <row r="30" spans="2:9">
      <c r="B30" s="1" t="s">
        <v>30</v>
      </c>
      <c r="E30" s="2">
        <v>1.5</v>
      </c>
      <c r="F30" s="1" t="s">
        <v>2</v>
      </c>
    </row>
    <row r="31" spans="2:9">
      <c r="B31" s="1" t="s">
        <v>31</v>
      </c>
      <c r="E31" s="2">
        <f>3+0.65+0.85</f>
        <v>4.5</v>
      </c>
      <c r="F31" s="1" t="s">
        <v>2</v>
      </c>
    </row>
    <row r="32" spans="2:9">
      <c r="B32" s="1" t="s">
        <v>32</v>
      </c>
      <c r="E32" s="2">
        <v>4.3</v>
      </c>
      <c r="F32" s="1" t="s">
        <v>2</v>
      </c>
    </row>
    <row r="33" spans="1:11">
      <c r="B33" s="1" t="s">
        <v>33</v>
      </c>
      <c r="E33" s="2">
        <v>1.5</v>
      </c>
      <c r="F33" s="1" t="s">
        <v>2</v>
      </c>
    </row>
    <row r="34" spans="1:11">
      <c r="B34" s="1" t="s">
        <v>34</v>
      </c>
      <c r="E34" s="2">
        <v>7.9</v>
      </c>
      <c r="F34" s="1" t="s">
        <v>2</v>
      </c>
    </row>
    <row r="36" spans="1:11">
      <c r="A36" s="1" t="s">
        <v>35</v>
      </c>
    </row>
    <row r="38" spans="1:11">
      <c r="B38" s="1" t="s">
        <v>36</v>
      </c>
    </row>
    <row r="39" spans="1:11">
      <c r="B39" s="1" t="s">
        <v>81</v>
      </c>
    </row>
    <row r="40" spans="1:11">
      <c r="E40" s="1" t="s">
        <v>82</v>
      </c>
    </row>
    <row r="41" spans="1:11">
      <c r="B41" s="1" t="s">
        <v>37</v>
      </c>
      <c r="D41" s="5">
        <v>1</v>
      </c>
      <c r="E41" s="9">
        <f>E21/1000</f>
        <v>0.4</v>
      </c>
      <c r="F41" s="4">
        <f>(E32+2*E19/1000)</f>
        <v>4.8999999999999995</v>
      </c>
      <c r="G41" s="4">
        <f>E31</f>
        <v>4.5</v>
      </c>
      <c r="H41" s="4">
        <f t="shared" ref="H41:H48" si="0">$E$11</f>
        <v>23.6</v>
      </c>
      <c r="I41" s="1" t="s">
        <v>38</v>
      </c>
      <c r="J41" s="4">
        <f>E41*F41*G41*H41</f>
        <v>208.15200000000002</v>
      </c>
      <c r="K41" s="8">
        <f>J41*1000/9.81/0.4536/2000</f>
        <v>23.388832257333789</v>
      </c>
    </row>
    <row r="42" spans="1:11">
      <c r="B42" s="1" t="s">
        <v>39</v>
      </c>
      <c r="D42" s="5">
        <v>1</v>
      </c>
      <c r="E42" s="9">
        <f>E22/1000</f>
        <v>0.42499999999999999</v>
      </c>
      <c r="F42" s="4">
        <f>E34</f>
        <v>7.9</v>
      </c>
      <c r="G42" s="4">
        <f>E31</f>
        <v>4.5</v>
      </c>
      <c r="H42" s="4">
        <f t="shared" si="0"/>
        <v>23.6</v>
      </c>
      <c r="I42" s="1" t="s">
        <v>38</v>
      </c>
      <c r="J42" s="4">
        <f>E42*F42*G42*H42</f>
        <v>356.56650000000002</v>
      </c>
      <c r="K42" s="8">
        <f t="shared" ref="K42:K51" si="1">J42*1000/9.81/0.4536/2000</f>
        <v>40.065308318366419</v>
      </c>
    </row>
    <row r="43" spans="1:11">
      <c r="B43" s="1" t="s">
        <v>40</v>
      </c>
      <c r="D43" s="5">
        <v>2</v>
      </c>
      <c r="E43" s="9">
        <f>(E19+E20)/2000</f>
        <v>0.3</v>
      </c>
      <c r="F43" s="4">
        <f>(E2-E4)</f>
        <v>3.7</v>
      </c>
      <c r="G43" s="4">
        <f>E31</f>
        <v>4.5</v>
      </c>
      <c r="H43" s="4">
        <f t="shared" si="0"/>
        <v>23.6</v>
      </c>
      <c r="I43" s="1" t="s">
        <v>38</v>
      </c>
      <c r="J43" s="4">
        <f t="shared" ref="J43:J48" si="2">D43*E43*F43*G43*H43</f>
        <v>235.76400000000001</v>
      </c>
      <c r="K43" s="8">
        <f t="shared" si="1"/>
        <v>26.491432454735207</v>
      </c>
    </row>
    <row r="44" spans="1:11">
      <c r="B44" s="20" t="s">
        <v>75</v>
      </c>
      <c r="C44" s="20"/>
      <c r="D44" s="5">
        <v>1</v>
      </c>
      <c r="E44" s="9">
        <f>E26/1000</f>
        <v>0.35</v>
      </c>
      <c r="F44" s="4">
        <f>E33</f>
        <v>1.5</v>
      </c>
      <c r="G44" s="4">
        <f>E2-E3</f>
        <v>5.9</v>
      </c>
      <c r="H44" s="4">
        <f t="shared" si="0"/>
        <v>23.6</v>
      </c>
      <c r="I44" s="1" t="s">
        <v>38</v>
      </c>
      <c r="J44" s="4">
        <f t="shared" si="2"/>
        <v>73.100999999999999</v>
      </c>
      <c r="K44" s="8">
        <f t="shared" si="1"/>
        <v>8.2139351379922214</v>
      </c>
    </row>
    <row r="45" spans="1:11">
      <c r="B45" s="20" t="s">
        <v>76</v>
      </c>
      <c r="C45" s="20"/>
      <c r="D45" s="5">
        <v>1</v>
      </c>
      <c r="E45" s="9">
        <f>E44+0.3</f>
        <v>0.64999999999999991</v>
      </c>
      <c r="F45" s="4">
        <f>F44</f>
        <v>1.5</v>
      </c>
      <c r="G45" s="4">
        <f>G44</f>
        <v>5.9</v>
      </c>
      <c r="H45" s="4">
        <f t="shared" si="0"/>
        <v>23.6</v>
      </c>
      <c r="I45" s="1" t="s">
        <v>38</v>
      </c>
      <c r="J45" s="4">
        <f t="shared" si="2"/>
        <v>135.75899999999999</v>
      </c>
      <c r="K45" s="8">
        <f t="shared" si="1"/>
        <v>15.254450970556984</v>
      </c>
    </row>
    <row r="46" spans="1:11">
      <c r="B46" s="20" t="s">
        <v>41</v>
      </c>
      <c r="C46" s="20"/>
      <c r="D46" s="5">
        <v>1</v>
      </c>
      <c r="E46" s="9">
        <f>E26/1000</f>
        <v>0.35</v>
      </c>
      <c r="F46" s="4">
        <f>E34-2*E33</f>
        <v>4.9000000000000004</v>
      </c>
      <c r="G46" s="4">
        <f>E29</f>
        <v>1.8</v>
      </c>
      <c r="H46" s="4">
        <f t="shared" si="0"/>
        <v>23.6</v>
      </c>
      <c r="I46" s="1" t="s">
        <v>38</v>
      </c>
      <c r="J46" s="4">
        <f t="shared" si="2"/>
        <v>72.853200000000015</v>
      </c>
      <c r="K46" s="8">
        <f t="shared" si="1"/>
        <v>8.1860912900668268</v>
      </c>
    </row>
    <row r="47" spans="1:11">
      <c r="B47" s="1" t="s">
        <v>42</v>
      </c>
      <c r="D47" s="5">
        <v>4</v>
      </c>
      <c r="E47" s="9">
        <f>(E24+E25)/2000</f>
        <v>0.45</v>
      </c>
      <c r="F47" s="4">
        <f>E33</f>
        <v>1.5</v>
      </c>
      <c r="G47" s="4">
        <f>E2-E3</f>
        <v>5.9</v>
      </c>
      <c r="H47" s="4">
        <f t="shared" si="0"/>
        <v>23.6</v>
      </c>
      <c r="I47" s="1" t="s">
        <v>38</v>
      </c>
      <c r="J47" s="4">
        <f t="shared" si="2"/>
        <v>375.94800000000004</v>
      </c>
      <c r="K47" s="8">
        <f t="shared" si="1"/>
        <v>42.243094995388574</v>
      </c>
    </row>
    <row r="48" spans="1:11">
      <c r="B48" s="1" t="s">
        <v>43</v>
      </c>
      <c r="D48" s="5">
        <v>2</v>
      </c>
      <c r="E48" s="9">
        <f>E23/1000</f>
        <v>0.4</v>
      </c>
      <c r="F48" s="4">
        <f>E34-E33*2</f>
        <v>4.9000000000000004</v>
      </c>
      <c r="G48" s="4">
        <f>E29</f>
        <v>1.8</v>
      </c>
      <c r="H48" s="4">
        <f t="shared" si="0"/>
        <v>23.6</v>
      </c>
      <c r="I48" s="1" t="s">
        <v>38</v>
      </c>
      <c r="J48" s="10">
        <f t="shared" si="2"/>
        <v>166.52160000000003</v>
      </c>
      <c r="K48" s="11">
        <f t="shared" si="1"/>
        <v>18.71106580586703</v>
      </c>
    </row>
    <row r="49" spans="2:11">
      <c r="J49" s="12">
        <f>SUM(J41:J48)</f>
        <v>1624.6653000000003</v>
      </c>
      <c r="K49" s="13">
        <f>SUM(K41:K48)</f>
        <v>182.55421123030706</v>
      </c>
    </row>
    <row r="50" spans="2:11">
      <c r="J50" s="4"/>
      <c r="K50" s="8"/>
    </row>
    <row r="51" spans="2:11">
      <c r="B51" s="1" t="s">
        <v>45</v>
      </c>
      <c r="C51" s="1" t="s">
        <v>46</v>
      </c>
      <c r="D51" s="5">
        <v>1</v>
      </c>
      <c r="E51" s="4">
        <f>E2-E4</f>
        <v>3.7</v>
      </c>
      <c r="F51" s="4">
        <f>E32</f>
        <v>4.3</v>
      </c>
      <c r="G51" s="4">
        <f>E31</f>
        <v>4.5</v>
      </c>
      <c r="H51" s="4">
        <f>E12</f>
        <v>18.899999999999999</v>
      </c>
      <c r="I51" s="1" t="s">
        <v>38</v>
      </c>
      <c r="J51" s="10">
        <f>D51*E51*F51*G51*H51</f>
        <v>1353.1454999999999</v>
      </c>
      <c r="K51" s="11">
        <f t="shared" si="1"/>
        <v>152.04510703363914</v>
      </c>
    </row>
    <row r="52" spans="2:11">
      <c r="J52" s="12">
        <f>J51+J49</f>
        <v>2977.8108000000002</v>
      </c>
      <c r="K52" s="13">
        <f>K51+K49</f>
        <v>334.5993182639462</v>
      </c>
    </row>
    <row r="53" spans="2:11">
      <c r="B53" s="1" t="s">
        <v>47</v>
      </c>
    </row>
    <row r="54" spans="2:11">
      <c r="B54" s="1" t="s">
        <v>77</v>
      </c>
    </row>
    <row r="55" spans="2:11">
      <c r="E55" s="1" t="s">
        <v>78</v>
      </c>
    </row>
    <row r="56" spans="2:11">
      <c r="B56" s="1" t="s">
        <v>48</v>
      </c>
      <c r="E56" s="4">
        <f>E5-E3</f>
        <v>3.85</v>
      </c>
      <c r="F56" s="4">
        <f>E28*E30</f>
        <v>3</v>
      </c>
      <c r="G56" s="4">
        <f>E33</f>
        <v>1.5</v>
      </c>
      <c r="H56" s="4">
        <f>$E$13</f>
        <v>9.81</v>
      </c>
      <c r="I56" s="1" t="s">
        <v>38</v>
      </c>
      <c r="J56" s="4">
        <f>E56*F56*G56*H56</f>
        <v>169.95825000000005</v>
      </c>
      <c r="K56" s="8">
        <f>J56*1000/9.81/0.4536/2000</f>
        <v>19.097222222222225</v>
      </c>
    </row>
    <row r="57" spans="2:11">
      <c r="B57" s="1" t="s">
        <v>49</v>
      </c>
      <c r="E57" s="4">
        <f>E6-E3</f>
        <v>4.8500000000000005</v>
      </c>
      <c r="F57" s="4">
        <f>E30*E28</f>
        <v>3</v>
      </c>
      <c r="G57" s="4">
        <f>E33</f>
        <v>1.5</v>
      </c>
      <c r="H57" s="4">
        <f>$E$13</f>
        <v>9.81</v>
      </c>
      <c r="I57" s="1" t="s">
        <v>38</v>
      </c>
      <c r="J57" s="4">
        <f>E57*F57*G57*H57</f>
        <v>214.10325000000003</v>
      </c>
      <c r="K57" s="8">
        <f t="shared" ref="K57:K58" si="3">J57*1000/9.81/0.4536/2000</f>
        <v>24.057539682539687</v>
      </c>
    </row>
    <row r="58" spans="2:11">
      <c r="B58" s="1" t="s">
        <v>50</v>
      </c>
      <c r="E58" s="4">
        <f>E29</f>
        <v>1.8</v>
      </c>
      <c r="F58" s="4">
        <f>E30*E28</f>
        <v>3</v>
      </c>
      <c r="G58" s="4">
        <f>E34-2*E33</f>
        <v>4.9000000000000004</v>
      </c>
      <c r="H58" s="4">
        <f>$E$13</f>
        <v>9.81</v>
      </c>
      <c r="I58" s="1" t="s">
        <v>38</v>
      </c>
      <c r="J58" s="10">
        <f>E58*F58*G58*H58</f>
        <v>259.57260000000008</v>
      </c>
      <c r="K58" s="11">
        <f t="shared" si="3"/>
        <v>29.166666666666675</v>
      </c>
    </row>
    <row r="59" spans="2:11">
      <c r="J59" s="4">
        <f>SUM(J56:J58)</f>
        <v>643.63410000000022</v>
      </c>
      <c r="K59" s="8">
        <f>SUM(K56:K58)</f>
        <v>72.321428571428584</v>
      </c>
    </row>
    <row r="61" spans="2:11">
      <c r="B61" s="1" t="s">
        <v>51</v>
      </c>
      <c r="E61" s="4">
        <f>((E8-E3+E22/1000)+(E7-E3+E22/1000))/2</f>
        <v>4.0750000000000002</v>
      </c>
      <c r="F61" s="4">
        <f>E31</f>
        <v>4.5</v>
      </c>
      <c r="G61" s="4">
        <f>E34</f>
        <v>7.9</v>
      </c>
      <c r="H61" s="4">
        <f>$E$13</f>
        <v>9.81</v>
      </c>
      <c r="I61" s="1" t="s">
        <v>38</v>
      </c>
      <c r="J61" s="4">
        <f>E61*F61*G61*H61</f>
        <v>1421.1379125000005</v>
      </c>
      <c r="K61" s="8">
        <f t="shared" ref="K61" si="4">J61*1000/9.81/0.4536/2000</f>
        <v>159.68501984126991</v>
      </c>
    </row>
    <row r="63" spans="2:11">
      <c r="B63" s="1" t="s">
        <v>52</v>
      </c>
    </row>
    <row r="64" spans="2:11">
      <c r="D64" s="1" t="s">
        <v>79</v>
      </c>
    </row>
    <row r="65" spans="1:11">
      <c r="E65" s="1" t="s">
        <v>80</v>
      </c>
    </row>
    <row r="66" spans="1:11">
      <c r="B66" s="1" t="s">
        <v>53</v>
      </c>
      <c r="D66" s="5">
        <f>$E$28</f>
        <v>2</v>
      </c>
      <c r="E66" s="4">
        <f>$E$30</f>
        <v>1.5</v>
      </c>
      <c r="F66" s="4">
        <f>E5-E3</f>
        <v>3.85</v>
      </c>
      <c r="G66" s="4">
        <f>$E$13</f>
        <v>9.81</v>
      </c>
      <c r="H66" s="4">
        <f>D66*E66*F66^2*G66/2</f>
        <v>218.11308750000001</v>
      </c>
      <c r="I66" s="8">
        <f>H66*1000/9.81/0.4536/2000</f>
        <v>24.508101851851851</v>
      </c>
    </row>
    <row r="67" spans="1:11">
      <c r="B67" s="1" t="s">
        <v>54</v>
      </c>
      <c r="D67" s="5">
        <f>$E$28</f>
        <v>2</v>
      </c>
      <c r="E67" s="4">
        <f>$E$30</f>
        <v>1.5</v>
      </c>
      <c r="F67" s="4">
        <f>E6-E3</f>
        <v>4.8500000000000005</v>
      </c>
      <c r="G67" s="4">
        <f>$E$13</f>
        <v>9.81</v>
      </c>
      <c r="H67" s="4">
        <f>D67*E67*F67^2/2*G67</f>
        <v>346.13358750000009</v>
      </c>
      <c r="I67" s="8">
        <f t="shared" ref="I67" si="5">H67*1000/9.81/0.4536/2000</f>
        <v>38.893022486772495</v>
      </c>
    </row>
    <row r="68" spans="1:11">
      <c r="A68" s="1"/>
    </row>
    <row r="69" spans="1:11">
      <c r="A69" s="1" t="s">
        <v>55</v>
      </c>
    </row>
    <row r="70" spans="1:11">
      <c r="B70" s="16" t="s">
        <v>88</v>
      </c>
      <c r="E70" t="s">
        <v>57</v>
      </c>
      <c r="F70" s="4">
        <f>J52</f>
        <v>2977.8108000000002</v>
      </c>
      <c r="G70" s="21">
        <f t="shared" ref="G70:G71" si="6">F70*1000/9.81/0.4536/2000</f>
        <v>334.59931826394615</v>
      </c>
      <c r="H70" s="21"/>
    </row>
    <row r="71" spans="1:11">
      <c r="B71" s="1" t="s">
        <v>56</v>
      </c>
      <c r="E71" s="1" t="s">
        <v>57</v>
      </c>
      <c r="F71" s="4">
        <f>J59</f>
        <v>643.63410000000022</v>
      </c>
      <c r="G71" s="21">
        <f t="shared" si="6"/>
        <v>72.321428571428584</v>
      </c>
      <c r="H71" s="21"/>
    </row>
    <row r="72" spans="1:11">
      <c r="F72" s="6" t="s">
        <v>44</v>
      </c>
      <c r="J72" s="18" t="s">
        <v>89</v>
      </c>
    </row>
    <row r="73" spans="1:11">
      <c r="B73" s="1" t="s">
        <v>58</v>
      </c>
      <c r="D73" s="1" t="s">
        <v>59</v>
      </c>
      <c r="E73" s="1" t="s">
        <v>57</v>
      </c>
      <c r="F73" s="4">
        <f>SUM(F70:F71)</f>
        <v>3621.4449000000004</v>
      </c>
      <c r="G73" s="1" t="s">
        <v>60</v>
      </c>
      <c r="H73" s="21">
        <f>F73*1000/9.81/0.4536/2000</f>
        <v>406.92074683537476</v>
      </c>
      <c r="I73" s="21"/>
      <c r="J73">
        <f>(3.65+0.85)*3.28</f>
        <v>14.76</v>
      </c>
      <c r="K73">
        <f>(4.3+3.6)*3.28</f>
        <v>25.911999999999999</v>
      </c>
    </row>
    <row r="74" spans="1:11">
      <c r="B74" s="1" t="s">
        <v>61</v>
      </c>
      <c r="D74" s="17"/>
      <c r="E74" s="1" t="s">
        <v>57</v>
      </c>
      <c r="F74" s="4">
        <f>J61</f>
        <v>1421.1379125000005</v>
      </c>
      <c r="G74" s="1" t="s">
        <v>60</v>
      </c>
      <c r="H74" s="21">
        <f>F74*1000/9.81/0.4536/2000</f>
        <v>159.68501984126991</v>
      </c>
      <c r="I74" s="21"/>
    </row>
    <row r="75" spans="1:11">
      <c r="F75" s="6" t="s">
        <v>62</v>
      </c>
    </row>
    <row r="76" spans="1:11">
      <c r="B76" s="1" t="s">
        <v>63</v>
      </c>
      <c r="E76" s="1" t="s">
        <v>57</v>
      </c>
      <c r="F76" s="4">
        <f>F73-F74</f>
        <v>2200.3069875000001</v>
      </c>
      <c r="G76" s="1" t="s">
        <v>60</v>
      </c>
      <c r="H76" s="21">
        <f>F76*1000/9.81/0.4536/2000</f>
        <v>247.23572699410494</v>
      </c>
      <c r="I76" s="21"/>
    </row>
    <row r="77" spans="1:11">
      <c r="G77" s="1"/>
    </row>
    <row r="78" spans="1:11">
      <c r="B78" s="1" t="s">
        <v>84</v>
      </c>
      <c r="E78" s="1" t="s">
        <v>57</v>
      </c>
      <c r="F78" s="15">
        <f>H76/E31/E34/3.28^2</f>
        <v>0.64643362178645758</v>
      </c>
      <c r="G78" s="19" t="s">
        <v>85</v>
      </c>
      <c r="H78" s="19"/>
    </row>
    <row r="79" spans="1:11">
      <c r="B79" s="1" t="s">
        <v>83</v>
      </c>
      <c r="F79" s="15">
        <f>(G70)/E31/E34/3.28^2</f>
        <v>0.87485838629543877</v>
      </c>
      <c r="G79" s="19" t="s">
        <v>86</v>
      </c>
      <c r="H79" s="19"/>
    </row>
    <row r="80" spans="1:11">
      <c r="B80" s="7" t="s">
        <v>87</v>
      </c>
      <c r="F80" s="15">
        <f>(((0.3+0.55)/2*2+0.75*3.65)*E11*1000/9.81/0.4536/2000)/3.65/(3.28^2)</f>
        <v>0.24226535462430887</v>
      </c>
      <c r="G80" s="19" t="s">
        <v>86</v>
      </c>
      <c r="H80" s="19"/>
      <c r="J80" s="15">
        <f>4*3.28*62.5/2000</f>
        <v>0.41</v>
      </c>
    </row>
    <row r="81" spans="1:11">
      <c r="B81" s="1"/>
    </row>
    <row r="82" spans="1:11">
      <c r="B82" s="1" t="s">
        <v>64</v>
      </c>
      <c r="E82" s="1" t="s">
        <v>57</v>
      </c>
      <c r="F82" s="4">
        <f>H67</f>
        <v>346.13358750000009</v>
      </c>
      <c r="G82" s="1" t="s">
        <v>65</v>
      </c>
      <c r="H82" s="4">
        <f>H66</f>
        <v>218.11308750000001</v>
      </c>
      <c r="I82" s="1" t="s">
        <v>66</v>
      </c>
      <c r="J82" s="4">
        <f>F82-H82</f>
        <v>128.02050000000008</v>
      </c>
      <c r="K82" s="1" t="s">
        <v>60</v>
      </c>
    </row>
    <row r="84" spans="1:11">
      <c r="A84" s="1" t="s">
        <v>67</v>
      </c>
    </row>
    <row r="85" spans="1:11">
      <c r="B85" s="1" t="s">
        <v>68</v>
      </c>
      <c r="E85" s="1" t="s">
        <v>57</v>
      </c>
      <c r="F85" s="4">
        <f>F73</f>
        <v>3621.4449000000004</v>
      </c>
      <c r="G85" s="1" t="s">
        <v>69</v>
      </c>
      <c r="H85" s="4">
        <f>F74</f>
        <v>1421.1379125000005</v>
      </c>
      <c r="I85" s="1" t="s">
        <v>66</v>
      </c>
      <c r="J85" s="4">
        <f>F85/H85</f>
        <v>2.5482712607598517</v>
      </c>
      <c r="K85" s="1" t="s">
        <v>70</v>
      </c>
    </row>
    <row r="86" spans="1:11">
      <c r="J86" s="1" t="s">
        <v>71</v>
      </c>
    </row>
    <row r="87" spans="1:11">
      <c r="B87" s="1" t="s">
        <v>72</v>
      </c>
      <c r="C87" s="1" t="s">
        <v>57</v>
      </c>
      <c r="D87" s="4">
        <v>0.5</v>
      </c>
      <c r="E87" s="1" t="s">
        <v>73</v>
      </c>
      <c r="F87" s="4">
        <f>F76</f>
        <v>2200.3069875000001</v>
      </c>
      <c r="G87" s="1" t="s">
        <v>69</v>
      </c>
      <c r="H87" s="4">
        <f>J82</f>
        <v>128.02050000000008</v>
      </c>
      <c r="I87" s="1" t="s">
        <v>66</v>
      </c>
      <c r="J87" s="4">
        <f>D87*F87/H87</f>
        <v>8.5935728555192288</v>
      </c>
      <c r="K87" s="1" t="s">
        <v>74</v>
      </c>
    </row>
    <row r="88" spans="1:11">
      <c r="J88" s="1" t="s">
        <v>71</v>
      </c>
    </row>
  </sheetData>
  <mergeCells count="11">
    <mergeCell ref="G80:H80"/>
    <mergeCell ref="B44:C44"/>
    <mergeCell ref="B46:C46"/>
    <mergeCell ref="B45:C45"/>
    <mergeCell ref="G78:H78"/>
    <mergeCell ref="G79:H79"/>
    <mergeCell ref="G70:H70"/>
    <mergeCell ref="G71:H71"/>
    <mergeCell ref="H73:I73"/>
    <mergeCell ref="H74:I74"/>
    <mergeCell ref="H76:I76"/>
  </mergeCells>
  <phoneticPr fontId="0" type="noConversion"/>
  <pageMargins left="0.5" right="0.5" top="0.5" bottom="0.5" header="0.5" footer="0.5"/>
  <pageSetup scale="90" orientation="portrait" horizontalDpi="4294967293" verticalDpi="300" r:id="rId1"/>
  <headerFooter alignWithMargins="0"/>
  <ignoredErrors>
    <ignoredError sqref="E3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STRUCT1</vt:lpstr>
      <vt:lpstr>_ST1</vt:lpstr>
      <vt:lpstr>_ST2</vt:lpstr>
      <vt:lpstr>_ST3</vt:lpstr>
      <vt:lpstr>_ST4</vt:lpstr>
      <vt:lpstr>_ST5</vt:lpstr>
      <vt:lpstr>_ST6</vt:lpstr>
      <vt:lpstr>_ST7</vt:lpstr>
      <vt:lpstr>_ST8</vt:lpstr>
      <vt:lpstr>PAGE</vt:lpstr>
      <vt:lpstr>STRUCT1!Print_Area</vt:lpstr>
      <vt:lpstr>STRUCT1!Print_Area_MI</vt:lpstr>
      <vt:lpstr>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2013-10-22T06:22:38Z</cp:lastPrinted>
  <dcterms:created xsi:type="dcterms:W3CDTF">2007-05-27T09:20:06Z</dcterms:created>
  <dcterms:modified xsi:type="dcterms:W3CDTF">2013-11-06T08:37:46Z</dcterms:modified>
</cp:coreProperties>
</file>