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3"/>
  </bookViews>
  <sheets>
    <sheet name="Лист1" sheetId="1" r:id="rId1"/>
    <sheet name="Dumping_volume_dpp_drawing" sheetId="2" r:id="rId2"/>
    <sheet name="dumping_volume_provided" sheetId="3" r:id="rId3"/>
    <sheet name="Rehab_Estimate" sheetId="4" r:id="rId4"/>
    <sheet name="New_Estimate" sheetId="7" r:id="rId5"/>
    <sheet name="Block_cost_comparision (2)" sheetId="12" r:id="rId6"/>
    <sheet name="Block_cost_comparision" sheetId="5" r:id="rId7"/>
    <sheet name="Sheet1" sheetId="9" r:id="rId8"/>
    <sheet name="Sheet3" sheetId="11" r:id="rId9"/>
    <sheet name="Sheet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2" l="1"/>
  <c r="Q10" i="12" s="1"/>
  <c r="O9" i="12"/>
  <c r="N8" i="12"/>
  <c r="Q8" i="12" s="1"/>
  <c r="N7" i="12"/>
  <c r="K12" i="12" s="1"/>
  <c r="O7" i="12" l="1"/>
  <c r="O8" i="12"/>
  <c r="O10" i="12"/>
  <c r="P7" i="12"/>
  <c r="Q7" i="12"/>
  <c r="D18" i="11"/>
  <c r="D16" i="11"/>
  <c r="D17" i="11"/>
  <c r="D15" i="11"/>
  <c r="D9" i="11"/>
  <c r="D8" i="11"/>
  <c r="D4" i="11"/>
  <c r="D3" i="11"/>
  <c r="D2" i="11"/>
  <c r="D10" i="11" l="1"/>
  <c r="H7" i="9"/>
  <c r="K12" i="5"/>
  <c r="L6" i="10" l="1"/>
  <c r="K10" i="9"/>
  <c r="L5" i="10"/>
  <c r="K5" i="9"/>
  <c r="I6" i="10"/>
  <c r="Q10" i="5"/>
  <c r="J4" i="10"/>
  <c r="J3" i="10"/>
  <c r="G5" i="10"/>
  <c r="F4" i="10"/>
  <c r="F3" i="10"/>
  <c r="C5" i="10"/>
  <c r="I5" i="10"/>
  <c r="I4" i="10"/>
  <c r="I3" i="10"/>
  <c r="G10" i="9"/>
  <c r="Q8" i="5"/>
  <c r="Q7" i="5"/>
  <c r="E4" i="10"/>
  <c r="E3" i="10"/>
  <c r="H8" i="9"/>
  <c r="E8" i="9"/>
  <c r="H6" i="9"/>
  <c r="I13" i="7"/>
  <c r="I12" i="7"/>
  <c r="E6" i="9"/>
  <c r="G13" i="7"/>
  <c r="G12" i="7"/>
  <c r="H5" i="9"/>
  <c r="E5" i="9"/>
  <c r="O8" i="5"/>
  <c r="O9" i="5"/>
  <c r="O10" i="5"/>
  <c r="O7" i="5"/>
  <c r="P7" i="5"/>
  <c r="E5" i="10" l="1"/>
  <c r="N10" i="5"/>
  <c r="N7" i="5"/>
  <c r="N8" i="5"/>
  <c r="F34" i="4"/>
  <c r="H32" i="7"/>
  <c r="C37" i="7" l="1"/>
  <c r="G11" i="2"/>
  <c r="J2" i="2"/>
  <c r="H28" i="3"/>
  <c r="C39" i="7" l="1"/>
  <c r="C36" i="7"/>
  <c r="C38" i="7"/>
  <c r="C40" i="7" l="1"/>
  <c r="D39" i="7" l="1"/>
  <c r="D37" i="7"/>
  <c r="D36" i="7"/>
  <c r="D38" i="7"/>
  <c r="L12" i="3"/>
  <c r="M3" i="3"/>
  <c r="M5" i="3"/>
  <c r="M6" i="3" s="1"/>
  <c r="M7" i="3" s="1"/>
  <c r="M8" i="3" s="1"/>
  <c r="M9" i="3" s="1"/>
  <c r="M10" i="3" s="1"/>
  <c r="M11" i="3" s="1"/>
  <c r="M12" i="3" s="1"/>
  <c r="L4" i="3"/>
  <c r="L5" i="3" s="1"/>
  <c r="L6" i="3" s="1"/>
  <c r="L7" i="3" s="1"/>
  <c r="L8" i="3" s="1"/>
  <c r="L9" i="3" s="1"/>
  <c r="L10" i="3" s="1"/>
  <c r="L11" i="3" s="1"/>
  <c r="P2" i="3"/>
  <c r="H15" i="3"/>
  <c r="Q2" i="3" l="1"/>
  <c r="S2" i="3" s="1"/>
  <c r="Q3" i="3"/>
  <c r="S3" i="3" s="1"/>
  <c r="R2" i="3"/>
  <c r="D3" i="3"/>
  <c r="D4" i="3"/>
  <c r="D5" i="3"/>
  <c r="D6" i="3"/>
  <c r="D7" i="3"/>
  <c r="D8" i="3"/>
  <c r="K8" i="3" s="1"/>
  <c r="D9" i="3"/>
  <c r="K9" i="3" s="1"/>
  <c r="D10" i="3"/>
  <c r="K10" i="3" s="1"/>
  <c r="D11" i="3"/>
  <c r="D12" i="3"/>
  <c r="D13" i="3"/>
  <c r="K13" i="3" s="1"/>
  <c r="M13" i="3" s="1"/>
  <c r="D14" i="3"/>
  <c r="K14" i="3" s="1"/>
  <c r="D15" i="3"/>
  <c r="J15" i="3" s="1"/>
  <c r="D16" i="3"/>
  <c r="J16" i="3" s="1"/>
  <c r="D17" i="3"/>
  <c r="D18" i="3"/>
  <c r="K18" i="3" s="1"/>
  <c r="D19" i="3"/>
  <c r="D20" i="3"/>
  <c r="D21" i="3"/>
  <c r="K21" i="3" s="1"/>
  <c r="D22" i="3"/>
  <c r="K22" i="3" s="1"/>
  <c r="D2" i="3"/>
  <c r="H20" i="3"/>
  <c r="I20" i="3"/>
  <c r="J20" i="3"/>
  <c r="K20" i="3"/>
  <c r="H21" i="3"/>
  <c r="I21" i="3"/>
  <c r="J21" i="3"/>
  <c r="H22" i="3"/>
  <c r="I22" i="3"/>
  <c r="J22" i="3"/>
  <c r="H7" i="3"/>
  <c r="I7" i="3" s="1"/>
  <c r="J7" i="3"/>
  <c r="K7" i="3"/>
  <c r="H8" i="3"/>
  <c r="I8" i="3" s="1"/>
  <c r="J8" i="3"/>
  <c r="H9" i="3"/>
  <c r="I9" i="3" s="1"/>
  <c r="H10" i="3"/>
  <c r="I10" i="3" s="1"/>
  <c r="H11" i="3"/>
  <c r="I11" i="3" s="1"/>
  <c r="J11" i="3"/>
  <c r="K11" i="3"/>
  <c r="H12" i="3"/>
  <c r="I12" i="3" s="1"/>
  <c r="J12" i="3"/>
  <c r="K12" i="3"/>
  <c r="H13" i="3"/>
  <c r="I13" i="3" s="1"/>
  <c r="H14" i="3"/>
  <c r="I14" i="3" s="1"/>
  <c r="I15" i="3"/>
  <c r="K15" i="3"/>
  <c r="H16" i="3"/>
  <c r="I16" i="3" s="1"/>
  <c r="H17" i="3"/>
  <c r="I17" i="3" s="1"/>
  <c r="J17" i="3"/>
  <c r="K17" i="3"/>
  <c r="H18" i="3"/>
  <c r="I18" i="3" s="1"/>
  <c r="J18" i="3"/>
  <c r="H19" i="3"/>
  <c r="I19" i="3" s="1"/>
  <c r="J19" i="3"/>
  <c r="K19" i="3"/>
  <c r="K5" i="3"/>
  <c r="J5" i="3"/>
  <c r="I5" i="3"/>
  <c r="H5" i="3"/>
  <c r="K2" i="3"/>
  <c r="M2" i="3" s="1"/>
  <c r="J2" i="3"/>
  <c r="I2" i="3"/>
  <c r="H2" i="3"/>
  <c r="M14" i="3" l="1"/>
  <c r="M15" i="3" s="1"/>
  <c r="K16" i="3"/>
  <c r="M16" i="3" s="1"/>
  <c r="M17" i="3" s="1"/>
  <c r="M18" i="3" s="1"/>
  <c r="M19" i="3" s="1"/>
  <c r="M20" i="3" s="1"/>
  <c r="M21" i="3" s="1"/>
  <c r="M22" i="3" s="1"/>
  <c r="J14" i="3"/>
  <c r="J13" i="3"/>
  <c r="L13" i="3" s="1"/>
  <c r="J10" i="3"/>
  <c r="J9" i="3"/>
  <c r="J4" i="3"/>
  <c r="K4" i="3"/>
  <c r="J6" i="3"/>
  <c r="K6" i="3"/>
  <c r="K3" i="3"/>
  <c r="J3" i="3"/>
  <c r="L3" i="3" s="1"/>
  <c r="P3" i="3" s="1"/>
  <c r="R3" i="3" s="1"/>
  <c r="I3" i="3"/>
  <c r="H4" i="3"/>
  <c r="I4" i="3" s="1"/>
  <c r="H6" i="3"/>
  <c r="I6" i="3" s="1"/>
  <c r="H3" i="3"/>
  <c r="D7" i="2"/>
  <c r="K7" i="2"/>
  <c r="J7" i="2"/>
  <c r="J3" i="2"/>
  <c r="K3" i="2"/>
  <c r="J4" i="2"/>
  <c r="K4" i="2"/>
  <c r="J5" i="2"/>
  <c r="K5" i="2"/>
  <c r="J6" i="2"/>
  <c r="K6" i="2"/>
  <c r="K2" i="2"/>
  <c r="I5" i="2"/>
  <c r="H5" i="2"/>
  <c r="I6" i="2"/>
  <c r="H6" i="2"/>
  <c r="I4" i="2"/>
  <c r="H4" i="2"/>
  <c r="I3" i="2"/>
  <c r="I2" i="2"/>
  <c r="H3" i="2"/>
  <c r="H2" i="2"/>
  <c r="L14" i="3" l="1"/>
  <c r="L15" i="3" s="1"/>
  <c r="L16" i="3" s="1"/>
  <c r="L17" i="3" s="1"/>
  <c r="L18" i="3" s="1"/>
  <c r="L19" i="3" s="1"/>
  <c r="L20" i="3" s="1"/>
  <c r="L21" i="3" s="1"/>
  <c r="L22" i="3" s="1"/>
  <c r="P4" i="3"/>
  <c r="R4" i="3" s="1"/>
  <c r="M4" i="3"/>
  <c r="P8" i="3" l="1"/>
  <c r="R8" i="3" s="1"/>
  <c r="P5" i="3"/>
  <c r="R5" i="3" s="1"/>
  <c r="Q6" i="3"/>
  <c r="S6" i="3" s="1"/>
  <c r="Q4" i="3"/>
  <c r="S4" i="3" s="1"/>
  <c r="P6" i="3"/>
  <c r="R6" i="3" s="1"/>
  <c r="P7" i="3" l="1"/>
  <c r="R7" i="3" s="1"/>
  <c r="P10" i="3"/>
  <c r="R10" i="3" s="1"/>
  <c r="Q5" i="3"/>
  <c r="S5" i="3" s="1"/>
  <c r="Q8" i="3"/>
  <c r="S8" i="3" s="1"/>
  <c r="R12" i="3" l="1"/>
  <c r="P9" i="3"/>
  <c r="R9" i="3" s="1"/>
  <c r="Q10" i="3"/>
  <c r="S10" i="3" s="1"/>
  <c r="Q7" i="3"/>
  <c r="S7" i="3" s="1"/>
  <c r="P11" i="3" l="1"/>
  <c r="R11" i="3" s="1"/>
  <c r="P14" i="3"/>
  <c r="R14" i="3" s="1"/>
  <c r="Q9" i="3"/>
  <c r="S9" i="3" s="1"/>
  <c r="Q12" i="3"/>
  <c r="S12" i="3" s="1"/>
  <c r="P13" i="3" l="1"/>
  <c r="R13" i="3" s="1"/>
  <c r="P16" i="3"/>
  <c r="R16" i="3" s="1"/>
  <c r="Q14" i="3"/>
  <c r="S14" i="3" s="1"/>
  <c r="Q11" i="3"/>
  <c r="S11" i="3" s="1"/>
  <c r="P18" i="3" l="1"/>
  <c r="R18" i="3" s="1"/>
  <c r="P15" i="3"/>
  <c r="R15" i="3" s="1"/>
  <c r="Q13" i="3"/>
  <c r="S13" i="3" s="1"/>
  <c r="Q16" i="3"/>
  <c r="S16" i="3" s="1"/>
  <c r="P17" i="3" l="1"/>
  <c r="R17" i="3" s="1"/>
  <c r="P20" i="3"/>
  <c r="R20" i="3" s="1"/>
  <c r="P22" i="3"/>
  <c r="R22" i="3" s="1"/>
  <c r="Q18" i="3"/>
  <c r="S18" i="3" s="1"/>
  <c r="Q15" i="3"/>
  <c r="S15" i="3" s="1"/>
  <c r="P19" i="3" l="1"/>
  <c r="R19" i="3" s="1"/>
  <c r="P21" i="3"/>
  <c r="R21" i="3" s="1"/>
  <c r="Q17" i="3"/>
  <c r="S17" i="3" s="1"/>
  <c r="Q20" i="3"/>
  <c r="S20" i="3" s="1"/>
  <c r="Q22" i="3"/>
  <c r="S22" i="3" s="1"/>
  <c r="Q19" i="3" l="1"/>
  <c r="S19" i="3" s="1"/>
  <c r="Q21" i="3"/>
  <c r="S21" i="3" s="1"/>
</calcChain>
</file>

<file path=xl/sharedStrings.xml><?xml version="1.0" encoding="utf-8"?>
<sst xmlns="http://schemas.openxmlformats.org/spreadsheetml/2006/main" count="390" uniqueCount="147">
  <si>
    <t>Name</t>
  </si>
  <si>
    <t>Start</t>
  </si>
  <si>
    <t>Finish</t>
  </si>
  <si>
    <t>Length</t>
  </si>
  <si>
    <t>sannashi to gabtola</t>
  </si>
  <si>
    <t>Geobag/m</t>
  </si>
  <si>
    <t>CC Block/m</t>
  </si>
  <si>
    <t>Appron Length</t>
  </si>
  <si>
    <t>Mongla Ghosiakhali</t>
  </si>
  <si>
    <t>Total Block</t>
  </si>
  <si>
    <t>Total Bag</t>
  </si>
  <si>
    <t>Morelgonj_Ferrighat</t>
  </si>
  <si>
    <t>Total Volume/m</t>
  </si>
  <si>
    <t>thickness</t>
  </si>
  <si>
    <t>Rehabilitation</t>
  </si>
  <si>
    <t>cum_block</t>
  </si>
  <si>
    <t>cum_bag</t>
  </si>
  <si>
    <t>Dpp_vol_bag</t>
  </si>
  <si>
    <t>Dpp_vol_cc_block</t>
  </si>
  <si>
    <t>Remaining_bag</t>
  </si>
  <si>
    <t>Remaining_block</t>
  </si>
  <si>
    <t>%bag_rem</t>
  </si>
  <si>
    <t>%block_rem</t>
  </si>
  <si>
    <t>Sinnakhali</t>
  </si>
  <si>
    <t>sannashi to kawalia</t>
  </si>
  <si>
    <t>Goshaikhali</t>
  </si>
  <si>
    <t>Fultola</t>
  </si>
  <si>
    <t>Item_code</t>
  </si>
  <si>
    <t>Short_descrip</t>
  </si>
  <si>
    <t>unit</t>
  </si>
  <si>
    <t>qunatity</t>
  </si>
  <si>
    <t>rate</t>
  </si>
  <si>
    <t>amount</t>
  </si>
  <si>
    <t>04-180</t>
  </si>
  <si>
    <t>Site_prep</t>
  </si>
  <si>
    <t>sqm</t>
  </si>
  <si>
    <t>group</t>
  </si>
  <si>
    <t>40-230-25</t>
  </si>
  <si>
    <t>45X45X45 CC Block Manufature</t>
  </si>
  <si>
    <t>Nos</t>
  </si>
  <si>
    <t>40-230-45</t>
  </si>
  <si>
    <t>35X35X35 CC Block Manufature</t>
  </si>
  <si>
    <t>40-230-40</t>
  </si>
  <si>
    <t>40-270-10</t>
  </si>
  <si>
    <t>CC Block Placing Within 200m</t>
  </si>
  <si>
    <t>cum</t>
  </si>
  <si>
    <t>40-0270-20</t>
  </si>
  <si>
    <t>CC Block Placing Within 200m to 500m</t>
  </si>
  <si>
    <t>40-290-10</t>
  </si>
  <si>
    <t>40-290-20</t>
  </si>
  <si>
    <t>Dumping CC Block/Hard Rock within 200m</t>
  </si>
  <si>
    <t>Dumping CC Block/Hard Rock within 200m-500m</t>
  </si>
  <si>
    <t>Supplying Empty Geobag 200kg 0.133m</t>
  </si>
  <si>
    <t>40-320-15</t>
  </si>
  <si>
    <t>40-330-15</t>
  </si>
  <si>
    <t>40-550-30</t>
  </si>
  <si>
    <t>Sand Filter</t>
  </si>
  <si>
    <t>40-520-20</t>
  </si>
  <si>
    <t>Khoa Filter 40mm down graded</t>
  </si>
  <si>
    <t>Khoa Filter 20mm down graded</t>
  </si>
  <si>
    <t>40-5409-10</t>
  </si>
  <si>
    <t>Geotex Filter</t>
  </si>
  <si>
    <t>Cutting of Erroded Bank</t>
  </si>
  <si>
    <t>40-920</t>
  </si>
  <si>
    <t>site office</t>
  </si>
  <si>
    <t>4-700-10</t>
  </si>
  <si>
    <t>04-710</t>
  </si>
  <si>
    <t>Temporary Land lease</t>
  </si>
  <si>
    <t>River Morphological Survey</t>
  </si>
  <si>
    <t>10-140-40</t>
  </si>
  <si>
    <t>40-350-15</t>
  </si>
  <si>
    <t>Filling and Placing of Geotextile Bags</t>
  </si>
  <si>
    <t>28-120-20</t>
  </si>
  <si>
    <t>CC_work</t>
  </si>
  <si>
    <t>A</t>
  </si>
  <si>
    <t>C</t>
  </si>
  <si>
    <t>P</t>
  </si>
  <si>
    <t>G</t>
  </si>
  <si>
    <t>CC_block_dumping</t>
  </si>
  <si>
    <t>Geo_Bag_dumping</t>
  </si>
  <si>
    <t>Pitching</t>
  </si>
  <si>
    <t>Auxulary</t>
  </si>
  <si>
    <t>40X40X20 CC Block Manufature</t>
  </si>
  <si>
    <t>Geobag Dumping 200kg 0.133cum</t>
  </si>
  <si>
    <t>16-100</t>
  </si>
  <si>
    <t>Bamboo_Profile</t>
  </si>
  <si>
    <t>04-120</t>
  </si>
  <si>
    <t>BM_Piller</t>
  </si>
  <si>
    <t>16-130</t>
  </si>
  <si>
    <t>Resectioning Embankment</t>
  </si>
  <si>
    <t>Cum</t>
  </si>
  <si>
    <t>16-720-10</t>
  </si>
  <si>
    <t>Ditch Filling Dredged Earth</t>
  </si>
  <si>
    <t>XX-XX-XX</t>
  </si>
  <si>
    <t>Pre_Work Postwork Video Graph</t>
  </si>
  <si>
    <t>28-200-10</t>
  </si>
  <si>
    <t>RCC 22Mpa</t>
  </si>
  <si>
    <t>76-110-10</t>
  </si>
  <si>
    <t>Kg</t>
  </si>
  <si>
    <t>Reinforecement 8 to 30mm dia</t>
  </si>
  <si>
    <t>36-300-10</t>
  </si>
  <si>
    <t>Shuttering for Footing  etc</t>
  </si>
  <si>
    <t>Excavation For Foundation Trenches</t>
  </si>
  <si>
    <t>16-500</t>
  </si>
  <si>
    <t>Mangrove Plantation</t>
  </si>
  <si>
    <t>Ha</t>
  </si>
  <si>
    <t>rate_old</t>
  </si>
  <si>
    <t>rate_new</t>
  </si>
  <si>
    <t>amount_old</t>
  </si>
  <si>
    <t>amount_new</t>
  </si>
  <si>
    <t>40-500-40</t>
  </si>
  <si>
    <t>Block_size</t>
  </si>
  <si>
    <t>old rate</t>
  </si>
  <si>
    <t>18 Mpa_new</t>
  </si>
  <si>
    <t>15 Mpa_new</t>
  </si>
  <si>
    <t>12 Mpa_new</t>
  </si>
  <si>
    <t>10.5 Mpa_new</t>
  </si>
  <si>
    <t>rate_change_strength</t>
  </si>
  <si>
    <t>Brickblock</t>
  </si>
  <si>
    <t>50X50X38 Brick Block</t>
  </si>
  <si>
    <t>CC Block</t>
  </si>
  <si>
    <t>Old Rate</t>
  </si>
  <si>
    <t>Manufacturing/cum</t>
  </si>
  <si>
    <t>dumping/cum</t>
  </si>
  <si>
    <t>Total/cum</t>
  </si>
  <si>
    <t>New</t>
  </si>
  <si>
    <t>old</t>
  </si>
  <si>
    <t>volume</t>
  </si>
  <si>
    <t>New Rate</t>
  </si>
  <si>
    <t>Geobag</t>
  </si>
  <si>
    <t>Volume_dpp</t>
  </si>
  <si>
    <t>Volume_design</t>
  </si>
  <si>
    <t>cost_old</t>
  </si>
  <si>
    <t>strength_reduction</t>
  </si>
  <si>
    <t>cost_strength_reduction</t>
  </si>
  <si>
    <t>material_ratio_old</t>
  </si>
  <si>
    <t>material_ratio</t>
  </si>
  <si>
    <t>Brick_block</t>
  </si>
  <si>
    <t>CC Block 18 MPa</t>
  </si>
  <si>
    <t>CC Block 10.5 Mpa</t>
  </si>
  <si>
    <t xml:space="preserve"> </t>
  </si>
  <si>
    <t>Goobag</t>
  </si>
  <si>
    <t>Q</t>
  </si>
  <si>
    <t>R</t>
  </si>
  <si>
    <t>CC  Block</t>
  </si>
  <si>
    <t>Strength Reduction</t>
  </si>
  <si>
    <t>Brick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</si>
</sst>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GlyphLessFont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10" fontId="0" fillId="0" borderId="0" xfId="0" applyNumberFormat="1"/>
    <xf numFmtId="0" fontId="0" fillId="3" borderId="2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0" fillId="0" borderId="5" xfId="0" applyFill="1" applyBorder="1"/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1" xfId="0" applyFill="1" applyBorder="1"/>
    <xf numFmtId="10" fontId="0" fillId="0" borderId="1" xfId="0" applyNumberFormat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4" borderId="5" xfId="0" applyFill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5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" width="12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B1" zoomScale="220" zoomScaleNormal="220" workbookViewId="0">
      <selection activeCell="E14" sqref="E14"/>
    </sheetView>
  </sheetViews>
  <sheetFormatPr defaultRowHeight="14.4"/>
  <cols>
    <col min="1" max="1" width="22.6640625" customWidth="1"/>
    <col min="5" max="5" width="16.77734375" customWidth="1"/>
    <col min="6" max="6" width="11.5546875" customWidth="1"/>
    <col min="7" max="7" width="12.77734375" customWidth="1"/>
    <col min="10" max="10" width="12.33203125" customWidth="1"/>
    <col min="11" max="11" width="13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6"/>
      <c r="I1" s="6"/>
      <c r="J1" s="3" t="s">
        <v>10</v>
      </c>
      <c r="K1" s="3" t="s">
        <v>9</v>
      </c>
    </row>
    <row r="2" spans="1:11">
      <c r="A2" s="2" t="s">
        <v>4</v>
      </c>
      <c r="B2" s="2">
        <v>0</v>
      </c>
      <c r="C2" s="2">
        <v>2000</v>
      </c>
      <c r="D2" s="2">
        <v>2000</v>
      </c>
      <c r="E2" s="2">
        <v>36.35</v>
      </c>
      <c r="F2" s="2">
        <v>29.5</v>
      </c>
      <c r="G2" s="2">
        <v>21.5</v>
      </c>
      <c r="H2" s="2">
        <f>F2+G2</f>
        <v>51</v>
      </c>
      <c r="I2" s="5">
        <f>H2/E2</f>
        <v>1.4030261348005502</v>
      </c>
      <c r="J2" s="2">
        <f>D2*F2</f>
        <v>59000</v>
      </c>
      <c r="K2" s="2">
        <f>G2*D2</f>
        <v>43000</v>
      </c>
    </row>
    <row r="3" spans="1:11">
      <c r="A3" s="2" t="s">
        <v>4</v>
      </c>
      <c r="B3" s="2">
        <v>0</v>
      </c>
      <c r="C3" s="2">
        <v>2000</v>
      </c>
      <c r="D3" s="2">
        <v>4500</v>
      </c>
      <c r="E3" s="2">
        <v>36.35</v>
      </c>
      <c r="F3" s="2">
        <v>26.5</v>
      </c>
      <c r="G3" s="2">
        <v>21.5</v>
      </c>
      <c r="H3" s="2">
        <f>F3+G3</f>
        <v>48</v>
      </c>
      <c r="I3" s="5">
        <f>H3/E3</f>
        <v>1.3204951856946354</v>
      </c>
      <c r="J3" s="2">
        <f t="shared" ref="J3:J6" si="0">D3*F3</f>
        <v>119250</v>
      </c>
      <c r="K3" s="2">
        <f t="shared" ref="K3:K6" si="1">G3*D3</f>
        <v>96750</v>
      </c>
    </row>
    <row r="4" spans="1:11">
      <c r="A4" s="4" t="s">
        <v>8</v>
      </c>
      <c r="B4" s="2">
        <v>0</v>
      </c>
      <c r="C4" s="2">
        <v>500</v>
      </c>
      <c r="D4" s="2">
        <v>500</v>
      </c>
      <c r="E4" s="2">
        <v>15.85</v>
      </c>
      <c r="F4" s="2">
        <v>8.5</v>
      </c>
      <c r="G4" s="2">
        <v>9.5</v>
      </c>
      <c r="H4" s="2">
        <f>F4+G4</f>
        <v>18</v>
      </c>
      <c r="I4" s="5">
        <f>H4/E4</f>
        <v>1.1356466876971609</v>
      </c>
      <c r="J4" s="2">
        <f t="shared" si="0"/>
        <v>4250</v>
      </c>
      <c r="K4" s="2">
        <f t="shared" si="1"/>
        <v>4750</v>
      </c>
    </row>
    <row r="5" spans="1:11">
      <c r="A5" s="4" t="s">
        <v>8</v>
      </c>
      <c r="B5" s="2">
        <v>500</v>
      </c>
      <c r="C5" s="2">
        <v>1000</v>
      </c>
      <c r="D5" s="2">
        <v>500</v>
      </c>
      <c r="E5" s="2">
        <v>15850</v>
      </c>
      <c r="F5" s="2">
        <v>8.5</v>
      </c>
      <c r="G5" s="2">
        <v>9.5</v>
      </c>
      <c r="H5" s="2">
        <f>F5+G5</f>
        <v>18</v>
      </c>
      <c r="I5" s="5">
        <f>H5/E5</f>
        <v>1.1356466876971609E-3</v>
      </c>
      <c r="J5" s="2">
        <f t="shared" si="0"/>
        <v>4250</v>
      </c>
      <c r="K5" s="2">
        <f t="shared" si="1"/>
        <v>4750</v>
      </c>
    </row>
    <row r="6" spans="1:11">
      <c r="A6" s="2" t="s">
        <v>8</v>
      </c>
      <c r="B6" s="4">
        <v>651</v>
      </c>
      <c r="C6" s="4">
        <v>921</v>
      </c>
      <c r="D6" s="4">
        <v>270</v>
      </c>
      <c r="E6" s="4">
        <v>35.35</v>
      </c>
      <c r="F6" s="2">
        <v>21</v>
      </c>
      <c r="G6" s="2">
        <v>21</v>
      </c>
      <c r="H6" s="2">
        <f>F6+G6</f>
        <v>42</v>
      </c>
      <c r="I6" s="5">
        <f>H6/E6</f>
        <v>1.1881188118811881</v>
      </c>
      <c r="J6" s="2">
        <f t="shared" si="0"/>
        <v>5670</v>
      </c>
      <c r="K6" s="2">
        <f t="shared" si="1"/>
        <v>5670</v>
      </c>
    </row>
    <row r="7" spans="1:11">
      <c r="A7" s="5"/>
      <c r="B7" s="5"/>
      <c r="C7" s="5"/>
      <c r="D7" s="2">
        <f>SUM(D2:D6)</f>
        <v>7770</v>
      </c>
      <c r="E7" s="5"/>
      <c r="F7" s="5"/>
      <c r="G7" s="5"/>
      <c r="H7" s="5"/>
      <c r="I7" s="5"/>
      <c r="J7" s="2">
        <f>SUM(J2:J6)</f>
        <v>192420</v>
      </c>
      <c r="K7" s="2">
        <f>SUM(K2:K6)</f>
        <v>154920</v>
      </c>
    </row>
    <row r="9" spans="1:11">
      <c r="G9" s="3">
        <v>51540</v>
      </c>
    </row>
    <row r="10" spans="1:11">
      <c r="G10" s="3">
        <v>120560</v>
      </c>
    </row>
    <row r="11" spans="1:11">
      <c r="G11" s="1">
        <f>SUM(G9:G10)</f>
        <v>172100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H4" zoomScale="145" zoomScaleNormal="145" workbookViewId="0">
      <selection activeCell="O17" sqref="O17"/>
    </sheetView>
  </sheetViews>
  <sheetFormatPr defaultRowHeight="14.4"/>
  <cols>
    <col min="1" max="1" width="22.44140625" customWidth="1"/>
    <col min="2" max="3" width="8.88671875" style="12"/>
    <col min="5" max="5" width="15.6640625" style="12" customWidth="1"/>
    <col min="6" max="6" width="8.88671875" style="12"/>
    <col min="7" max="7" width="14.77734375" style="12" customWidth="1"/>
    <col min="8" max="8" width="15.88671875" customWidth="1"/>
    <col min="11" max="11" width="12.109375" customWidth="1"/>
    <col min="12" max="12" width="10.5546875" customWidth="1"/>
    <col min="14" max="14" width="14.44140625" customWidth="1"/>
    <col min="15" max="15" width="17.109375" customWidth="1"/>
    <col min="16" max="16" width="13.5546875" customWidth="1"/>
    <col min="17" max="17" width="14.88671875" customWidth="1"/>
    <col min="18" max="18" width="12" customWidth="1"/>
    <col min="19" max="19" width="11.109375" customWidth="1"/>
  </cols>
  <sheetData>
    <row r="1" spans="1:19">
      <c r="A1" s="2" t="s">
        <v>0</v>
      </c>
      <c r="B1" s="11" t="s">
        <v>1</v>
      </c>
      <c r="C1" s="11" t="s">
        <v>2</v>
      </c>
      <c r="D1" s="9" t="s">
        <v>3</v>
      </c>
      <c r="E1" s="10" t="s">
        <v>7</v>
      </c>
      <c r="F1" s="10" t="s">
        <v>5</v>
      </c>
      <c r="G1" s="10" t="s">
        <v>6</v>
      </c>
      <c r="H1" s="9" t="s">
        <v>12</v>
      </c>
      <c r="I1" s="9" t="s">
        <v>13</v>
      </c>
      <c r="J1" s="9" t="s">
        <v>10</v>
      </c>
      <c r="K1" s="9" t="s">
        <v>9</v>
      </c>
      <c r="L1" s="8" t="s">
        <v>16</v>
      </c>
      <c r="M1" s="8" t="s">
        <v>15</v>
      </c>
      <c r="N1" s="8" t="s">
        <v>17</v>
      </c>
      <c r="O1" s="8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>
      <c r="A2" s="2" t="s">
        <v>14</v>
      </c>
      <c r="B2" s="11">
        <v>0</v>
      </c>
      <c r="C2" s="11">
        <v>141</v>
      </c>
      <c r="D2" s="2">
        <f>C2-B2</f>
        <v>141</v>
      </c>
      <c r="E2" s="11">
        <v>38</v>
      </c>
      <c r="F2" s="11">
        <v>19</v>
      </c>
      <c r="G2" s="11">
        <v>20</v>
      </c>
      <c r="H2" s="2">
        <f>SUM(F2:G2)</f>
        <v>39</v>
      </c>
      <c r="I2" s="2">
        <f>H2/E2</f>
        <v>1.0263157894736843</v>
      </c>
      <c r="J2" s="2">
        <f>F2*D2</f>
        <v>2679</v>
      </c>
      <c r="K2" s="2">
        <f>G2*D2</f>
        <v>2820</v>
      </c>
      <c r="L2" s="2">
        <v>2679</v>
      </c>
      <c r="M2" s="2">
        <f>K2</f>
        <v>2820</v>
      </c>
      <c r="N2" s="2">
        <v>242441</v>
      </c>
      <c r="O2" s="2">
        <v>191720</v>
      </c>
      <c r="P2" s="2">
        <f>N2-L2</f>
        <v>239762</v>
      </c>
      <c r="Q2" s="2">
        <f t="shared" ref="Q2:Q6" si="0">O2-M2</f>
        <v>188900</v>
      </c>
      <c r="R2" s="31">
        <f>P2/N2</f>
        <v>0.98894988883893398</v>
      </c>
      <c r="S2" s="31">
        <f>Q2/O2</f>
        <v>0.98529104944711032</v>
      </c>
    </row>
    <row r="3" spans="1:19">
      <c r="A3" s="2" t="s">
        <v>11</v>
      </c>
      <c r="B3" s="11">
        <v>141</v>
      </c>
      <c r="C3" s="11">
        <v>651</v>
      </c>
      <c r="D3" s="2">
        <f t="shared" ref="D3:D22" si="1">C3-B3</f>
        <v>510</v>
      </c>
      <c r="E3" s="11">
        <v>38</v>
      </c>
      <c r="F3" s="11">
        <v>19</v>
      </c>
      <c r="G3" s="11">
        <v>20</v>
      </c>
      <c r="H3" s="2">
        <f>SUM(F3:G3)</f>
        <v>39</v>
      </c>
      <c r="I3" s="2">
        <f>H3/E3</f>
        <v>1.0263157894736843</v>
      </c>
      <c r="J3" s="2">
        <f>F3*D3</f>
        <v>9690</v>
      </c>
      <c r="K3" s="2">
        <f>G3*D3</f>
        <v>10200</v>
      </c>
      <c r="L3" s="2">
        <f>L2+J3</f>
        <v>12369</v>
      </c>
      <c r="M3" s="2">
        <f>M2+K3</f>
        <v>13020</v>
      </c>
      <c r="N3" s="2">
        <v>242441</v>
      </c>
      <c r="O3" s="2">
        <v>191720</v>
      </c>
      <c r="P3" s="2">
        <f t="shared" ref="P3:P6" si="2">N3-L3</f>
        <v>230072</v>
      </c>
      <c r="Q3" s="2">
        <f t="shared" si="0"/>
        <v>178700</v>
      </c>
      <c r="R3" s="31">
        <f t="shared" ref="R3:R22" si="3">P3/N3</f>
        <v>0.94898140166061018</v>
      </c>
      <c r="S3" s="31">
        <f t="shared" ref="S3:S22" si="4">Q3/O3</f>
        <v>0.9320884623409138</v>
      </c>
    </row>
    <row r="4" spans="1:19">
      <c r="A4" s="2" t="s">
        <v>11</v>
      </c>
      <c r="B4" s="11">
        <v>921</v>
      </c>
      <c r="C4" s="11">
        <v>1036</v>
      </c>
      <c r="D4" s="2">
        <f t="shared" si="1"/>
        <v>115</v>
      </c>
      <c r="E4" s="11">
        <v>36.35</v>
      </c>
      <c r="F4" s="11">
        <v>22.5</v>
      </c>
      <c r="G4" s="11">
        <v>23.5</v>
      </c>
      <c r="H4" s="2">
        <f t="shared" ref="H4:H6" si="5">SUM(F4:G4)</f>
        <v>46</v>
      </c>
      <c r="I4" s="2">
        <f t="shared" ref="I4:I6" si="6">H4/E4</f>
        <v>1.265474552957359</v>
      </c>
      <c r="J4" s="2">
        <f t="shared" ref="J4:J6" si="7">F4*D4</f>
        <v>2587.5</v>
      </c>
      <c r="K4" s="2">
        <f t="shared" ref="K4:K6" si="8">G4*D4</f>
        <v>2702.5</v>
      </c>
      <c r="L4" s="2">
        <f t="shared" ref="L4:L22" si="9">L3+J4</f>
        <v>14956.5</v>
      </c>
      <c r="M4" s="2">
        <f t="shared" ref="M4:M22" si="10">M3+K4</f>
        <v>15722.5</v>
      </c>
      <c r="N4" s="2">
        <v>242441</v>
      </c>
      <c r="O4" s="2">
        <v>191720</v>
      </c>
      <c r="P4" s="2">
        <f t="shared" si="2"/>
        <v>227484.5</v>
      </c>
      <c r="Q4" s="2">
        <f t="shared" si="0"/>
        <v>175997.5</v>
      </c>
      <c r="R4" s="31">
        <f t="shared" si="3"/>
        <v>0.93830870191098037</v>
      </c>
      <c r="S4" s="31">
        <f t="shared" si="4"/>
        <v>0.91799238472772793</v>
      </c>
    </row>
    <row r="5" spans="1:19">
      <c r="A5" s="2" t="s">
        <v>14</v>
      </c>
      <c r="B5" s="11">
        <v>651</v>
      </c>
      <c r="C5" s="11">
        <v>921</v>
      </c>
      <c r="D5" s="2">
        <f t="shared" si="1"/>
        <v>270</v>
      </c>
      <c r="E5" s="11">
        <v>45</v>
      </c>
      <c r="F5" s="11">
        <v>22.5</v>
      </c>
      <c r="G5" s="11">
        <v>23.5</v>
      </c>
      <c r="H5" s="2">
        <f t="shared" si="5"/>
        <v>46</v>
      </c>
      <c r="I5" s="2">
        <f t="shared" si="6"/>
        <v>1.0222222222222221</v>
      </c>
      <c r="J5" s="2">
        <f>F5*D5</f>
        <v>6075</v>
      </c>
      <c r="K5" s="2">
        <f>G5*D5</f>
        <v>6345</v>
      </c>
      <c r="L5" s="2">
        <f t="shared" si="9"/>
        <v>21031.5</v>
      </c>
      <c r="M5" s="2">
        <f t="shared" si="10"/>
        <v>22067.5</v>
      </c>
      <c r="N5" s="2">
        <v>242441</v>
      </c>
      <c r="O5" s="2">
        <v>191720</v>
      </c>
      <c r="P5" s="2">
        <f t="shared" si="2"/>
        <v>221409.5</v>
      </c>
      <c r="Q5" s="2">
        <f t="shared" si="0"/>
        <v>169652.5</v>
      </c>
      <c r="R5" s="31">
        <f t="shared" si="3"/>
        <v>0.91325105902054515</v>
      </c>
      <c r="S5" s="31">
        <f t="shared" si="4"/>
        <v>0.88489724598372632</v>
      </c>
    </row>
    <row r="6" spans="1:19">
      <c r="A6" s="2" t="s">
        <v>11</v>
      </c>
      <c r="B6" s="11">
        <v>921</v>
      </c>
      <c r="C6" s="11">
        <v>1036</v>
      </c>
      <c r="D6" s="2">
        <f t="shared" si="1"/>
        <v>115</v>
      </c>
      <c r="E6" s="11">
        <v>45</v>
      </c>
      <c r="F6" s="11">
        <v>22.5</v>
      </c>
      <c r="G6" s="11">
        <v>23.5</v>
      </c>
      <c r="H6" s="2">
        <f t="shared" si="5"/>
        <v>46</v>
      </c>
      <c r="I6" s="2">
        <f t="shared" si="6"/>
        <v>1.0222222222222221</v>
      </c>
      <c r="J6" s="2">
        <f t="shared" si="7"/>
        <v>2587.5</v>
      </c>
      <c r="K6" s="2">
        <f t="shared" si="8"/>
        <v>2702.5</v>
      </c>
      <c r="L6" s="2">
        <f t="shared" si="9"/>
        <v>23619</v>
      </c>
      <c r="M6" s="2">
        <f t="shared" si="10"/>
        <v>24770</v>
      </c>
      <c r="N6" s="2">
        <v>242441</v>
      </c>
      <c r="O6" s="2">
        <v>191720</v>
      </c>
      <c r="P6" s="2">
        <f t="shared" si="2"/>
        <v>218822</v>
      </c>
      <c r="Q6" s="2">
        <f t="shared" si="0"/>
        <v>166950</v>
      </c>
      <c r="R6" s="31">
        <f t="shared" si="3"/>
        <v>0.90257835927091534</v>
      </c>
      <c r="S6" s="31">
        <f t="shared" si="4"/>
        <v>0.87080116837054033</v>
      </c>
    </row>
    <row r="7" spans="1:19">
      <c r="A7" s="2" t="s">
        <v>14</v>
      </c>
      <c r="B7" s="11">
        <v>1036</v>
      </c>
      <c r="C7" s="11">
        <v>1446</v>
      </c>
      <c r="D7" s="2">
        <f t="shared" si="1"/>
        <v>410</v>
      </c>
      <c r="E7" s="11">
        <v>38</v>
      </c>
      <c r="F7" s="11">
        <v>19</v>
      </c>
      <c r="G7" s="11">
        <v>20</v>
      </c>
      <c r="H7" s="2">
        <f t="shared" ref="H7:H20" si="11">SUM(F7:G7)</f>
        <v>39</v>
      </c>
      <c r="I7" s="2">
        <f t="shared" ref="I7:I20" si="12">H7/E7</f>
        <v>1.0263157894736843</v>
      </c>
      <c r="J7" s="2">
        <f t="shared" ref="J7:J20" si="13">F7*D7</f>
        <v>7790</v>
      </c>
      <c r="K7" s="2">
        <f t="shared" ref="K7:K20" si="14">G7*D7</f>
        <v>8200</v>
      </c>
      <c r="L7" s="2">
        <f t="shared" si="9"/>
        <v>31409</v>
      </c>
      <c r="M7" s="2">
        <f t="shared" si="10"/>
        <v>32970</v>
      </c>
      <c r="N7" s="2">
        <v>242441</v>
      </c>
      <c r="O7" s="2">
        <v>191720</v>
      </c>
      <c r="P7" s="2">
        <f t="shared" ref="P7:P20" si="15">N7-L7</f>
        <v>211032</v>
      </c>
      <c r="Q7" s="2">
        <f t="shared" ref="Q7:Q20" si="16">O7-M7</f>
        <v>158750</v>
      </c>
      <c r="R7" s="31">
        <f t="shared" si="3"/>
        <v>0.8704468303628512</v>
      </c>
      <c r="S7" s="31">
        <f t="shared" si="4"/>
        <v>0.82803046108908829</v>
      </c>
    </row>
    <row r="8" spans="1:19">
      <c r="A8" s="2" t="s">
        <v>11</v>
      </c>
      <c r="B8" s="11">
        <v>1446</v>
      </c>
      <c r="C8" s="11">
        <v>1656</v>
      </c>
      <c r="D8" s="2">
        <f t="shared" si="1"/>
        <v>210</v>
      </c>
      <c r="E8" s="11">
        <v>38</v>
      </c>
      <c r="F8" s="11">
        <v>19</v>
      </c>
      <c r="G8" s="11">
        <v>20</v>
      </c>
      <c r="H8" s="2">
        <f t="shared" si="11"/>
        <v>39</v>
      </c>
      <c r="I8" s="2">
        <f t="shared" si="12"/>
        <v>1.0263157894736843</v>
      </c>
      <c r="J8" s="2">
        <f t="shared" si="13"/>
        <v>3990</v>
      </c>
      <c r="K8" s="2">
        <f t="shared" si="14"/>
        <v>4200</v>
      </c>
      <c r="L8" s="2">
        <f t="shared" si="9"/>
        <v>35399</v>
      </c>
      <c r="M8" s="2">
        <f t="shared" si="10"/>
        <v>37170</v>
      </c>
      <c r="N8" s="2">
        <v>242441</v>
      </c>
      <c r="O8" s="2">
        <v>191720</v>
      </c>
      <c r="P8" s="2">
        <f t="shared" si="15"/>
        <v>207042</v>
      </c>
      <c r="Q8" s="2">
        <f t="shared" si="16"/>
        <v>154550</v>
      </c>
      <c r="R8" s="31">
        <f t="shared" si="3"/>
        <v>0.85398921799530603</v>
      </c>
      <c r="S8" s="31">
        <f t="shared" si="4"/>
        <v>0.80612351345712496</v>
      </c>
    </row>
    <row r="9" spans="1:19">
      <c r="A9" s="2" t="s">
        <v>14</v>
      </c>
      <c r="B9" s="11">
        <v>1656</v>
      </c>
      <c r="C9" s="11">
        <v>1797</v>
      </c>
      <c r="D9" s="2">
        <f t="shared" si="1"/>
        <v>141</v>
      </c>
      <c r="E9" s="11">
        <v>38</v>
      </c>
      <c r="F9" s="11">
        <v>9</v>
      </c>
      <c r="G9" s="11">
        <v>20</v>
      </c>
      <c r="H9" s="2">
        <f t="shared" si="11"/>
        <v>29</v>
      </c>
      <c r="I9" s="2">
        <f t="shared" si="12"/>
        <v>0.76315789473684215</v>
      </c>
      <c r="J9" s="2">
        <f t="shared" si="13"/>
        <v>1269</v>
      </c>
      <c r="K9" s="2">
        <f t="shared" si="14"/>
        <v>2820</v>
      </c>
      <c r="L9" s="2">
        <f t="shared" si="9"/>
        <v>36668</v>
      </c>
      <c r="M9" s="2">
        <f t="shared" si="10"/>
        <v>39990</v>
      </c>
      <c r="N9" s="2">
        <v>242441</v>
      </c>
      <c r="O9" s="2">
        <v>191720</v>
      </c>
      <c r="P9" s="2">
        <f t="shared" si="15"/>
        <v>205773</v>
      </c>
      <c r="Q9" s="2">
        <f t="shared" si="16"/>
        <v>151730</v>
      </c>
      <c r="R9" s="31">
        <f t="shared" si="3"/>
        <v>0.84875495481374852</v>
      </c>
      <c r="S9" s="31">
        <f t="shared" si="4"/>
        <v>0.7914145629042354</v>
      </c>
    </row>
    <row r="10" spans="1:19">
      <c r="A10" s="2" t="s">
        <v>11</v>
      </c>
      <c r="B10" s="11">
        <v>1797</v>
      </c>
      <c r="C10" s="11">
        <v>2400</v>
      </c>
      <c r="D10" s="2">
        <f t="shared" si="1"/>
        <v>603</v>
      </c>
      <c r="E10" s="11">
        <v>38</v>
      </c>
      <c r="F10" s="11">
        <v>19</v>
      </c>
      <c r="G10" s="11">
        <v>20</v>
      </c>
      <c r="H10" s="2">
        <f t="shared" si="11"/>
        <v>39</v>
      </c>
      <c r="I10" s="2">
        <f t="shared" si="12"/>
        <v>1.0263157894736843</v>
      </c>
      <c r="J10" s="2">
        <f t="shared" si="13"/>
        <v>11457</v>
      </c>
      <c r="K10" s="2">
        <f t="shared" si="14"/>
        <v>12060</v>
      </c>
      <c r="L10" s="2">
        <f t="shared" si="9"/>
        <v>48125</v>
      </c>
      <c r="M10" s="2">
        <f t="shared" si="10"/>
        <v>52050</v>
      </c>
      <c r="N10" s="2">
        <v>242441</v>
      </c>
      <c r="O10" s="2">
        <v>191720</v>
      </c>
      <c r="P10" s="2">
        <f t="shared" si="15"/>
        <v>194316</v>
      </c>
      <c r="Q10" s="2">
        <f t="shared" si="16"/>
        <v>139670</v>
      </c>
      <c r="R10" s="31">
        <f t="shared" si="3"/>
        <v>0.80149809644408332</v>
      </c>
      <c r="S10" s="31">
        <f t="shared" si="4"/>
        <v>0.72851032756102652</v>
      </c>
    </row>
    <row r="11" spans="1:19">
      <c r="A11" s="2" t="s">
        <v>11</v>
      </c>
      <c r="B11" s="11">
        <v>2400</v>
      </c>
      <c r="C11" s="11">
        <v>2700</v>
      </c>
      <c r="D11" s="2">
        <f t="shared" si="1"/>
        <v>300</v>
      </c>
      <c r="E11" s="11">
        <v>45</v>
      </c>
      <c r="F11" s="11">
        <v>22.5</v>
      </c>
      <c r="G11" s="11">
        <v>23.5</v>
      </c>
      <c r="H11" s="2">
        <f t="shared" si="11"/>
        <v>46</v>
      </c>
      <c r="I11" s="2">
        <f t="shared" si="12"/>
        <v>1.0222222222222221</v>
      </c>
      <c r="J11" s="2">
        <f t="shared" si="13"/>
        <v>6750</v>
      </c>
      <c r="K11" s="2">
        <f t="shared" si="14"/>
        <v>7050</v>
      </c>
      <c r="L11" s="2">
        <f t="shared" si="9"/>
        <v>54875</v>
      </c>
      <c r="M11" s="2">
        <f t="shared" si="10"/>
        <v>59100</v>
      </c>
      <c r="N11" s="2">
        <v>242441</v>
      </c>
      <c r="O11" s="2">
        <v>191720</v>
      </c>
      <c r="P11" s="2">
        <f t="shared" si="15"/>
        <v>187566</v>
      </c>
      <c r="Q11" s="2">
        <f t="shared" si="16"/>
        <v>132620</v>
      </c>
      <c r="R11" s="31">
        <f t="shared" si="3"/>
        <v>0.77365627101026646</v>
      </c>
      <c r="S11" s="31">
        <f t="shared" si="4"/>
        <v>0.69173795117880243</v>
      </c>
    </row>
    <row r="12" spans="1:19">
      <c r="A12" s="15" t="s">
        <v>11</v>
      </c>
      <c r="B12" s="15">
        <v>2700</v>
      </c>
      <c r="C12" s="15">
        <v>3262</v>
      </c>
      <c r="D12" s="15">
        <f t="shared" si="1"/>
        <v>562</v>
      </c>
      <c r="E12" s="15">
        <v>38</v>
      </c>
      <c r="F12" s="15">
        <v>19</v>
      </c>
      <c r="G12" s="15">
        <v>20</v>
      </c>
      <c r="H12" s="15">
        <f t="shared" si="11"/>
        <v>39</v>
      </c>
      <c r="I12" s="15">
        <f t="shared" si="12"/>
        <v>1.0263157894736843</v>
      </c>
      <c r="J12" s="15">
        <f t="shared" si="13"/>
        <v>10678</v>
      </c>
      <c r="K12" s="15">
        <f t="shared" si="14"/>
        <v>11240</v>
      </c>
      <c r="L12" s="9">
        <f>L11+J12</f>
        <v>65553</v>
      </c>
      <c r="M12" s="9">
        <f t="shared" si="10"/>
        <v>70340</v>
      </c>
      <c r="N12" s="2">
        <v>242441</v>
      </c>
      <c r="O12" s="2">
        <v>191720</v>
      </c>
      <c r="P12" s="2">
        <v>191720</v>
      </c>
      <c r="Q12" s="15">
        <f t="shared" si="16"/>
        <v>121380</v>
      </c>
      <c r="R12" s="32">
        <f>P12/N12</f>
        <v>0.79079033661798126</v>
      </c>
      <c r="S12" s="32">
        <f t="shared" si="4"/>
        <v>0.63311078656373876</v>
      </c>
    </row>
    <row r="13" spans="1:19">
      <c r="A13" s="4" t="s">
        <v>23</v>
      </c>
      <c r="B13" s="11">
        <v>2100</v>
      </c>
      <c r="C13" s="11">
        <v>3600</v>
      </c>
      <c r="D13" s="2">
        <f t="shared" si="1"/>
        <v>1500</v>
      </c>
      <c r="E13" s="11">
        <v>35</v>
      </c>
      <c r="F13" s="11">
        <v>27</v>
      </c>
      <c r="G13" s="11">
        <v>21</v>
      </c>
      <c r="H13" s="2">
        <f t="shared" si="11"/>
        <v>48</v>
      </c>
      <c r="I13" s="2">
        <f t="shared" si="12"/>
        <v>1.3714285714285714</v>
      </c>
      <c r="J13" s="2">
        <f t="shared" si="13"/>
        <v>40500</v>
      </c>
      <c r="K13" s="2">
        <f t="shared" si="14"/>
        <v>31500</v>
      </c>
      <c r="L13" s="2">
        <f t="shared" si="9"/>
        <v>106053</v>
      </c>
      <c r="M13" s="2">
        <f t="shared" si="10"/>
        <v>101840</v>
      </c>
      <c r="N13" s="2">
        <v>242441</v>
      </c>
      <c r="O13" s="2">
        <v>191720</v>
      </c>
      <c r="P13" s="2">
        <f t="shared" si="15"/>
        <v>136388</v>
      </c>
      <c r="Q13" s="2">
        <f t="shared" si="16"/>
        <v>89880</v>
      </c>
      <c r="R13" s="31">
        <f t="shared" si="3"/>
        <v>0.56256161292850637</v>
      </c>
      <c r="S13" s="31">
        <f t="shared" si="4"/>
        <v>0.46880867932401421</v>
      </c>
    </row>
    <row r="14" spans="1:19">
      <c r="A14" s="4" t="s">
        <v>24</v>
      </c>
      <c r="B14" s="11">
        <v>0</v>
      </c>
      <c r="C14" s="11">
        <v>4500</v>
      </c>
      <c r="D14" s="2">
        <f t="shared" si="1"/>
        <v>4500</v>
      </c>
      <c r="E14" s="11">
        <v>35</v>
      </c>
      <c r="F14" s="11">
        <v>25</v>
      </c>
      <c r="G14" s="11">
        <v>20</v>
      </c>
      <c r="H14" s="2">
        <f t="shared" si="11"/>
        <v>45</v>
      </c>
      <c r="I14" s="2">
        <f t="shared" si="12"/>
        <v>1.2857142857142858</v>
      </c>
      <c r="J14" s="2">
        <f t="shared" si="13"/>
        <v>112500</v>
      </c>
      <c r="K14" s="2">
        <f t="shared" si="14"/>
        <v>90000</v>
      </c>
      <c r="L14" s="2">
        <f t="shared" si="9"/>
        <v>218553</v>
      </c>
      <c r="M14" s="2">
        <f t="shared" si="10"/>
        <v>191840</v>
      </c>
      <c r="N14" s="2">
        <v>242441</v>
      </c>
      <c r="O14" s="2">
        <v>191720</v>
      </c>
      <c r="P14" s="2">
        <f t="shared" si="15"/>
        <v>23888</v>
      </c>
      <c r="Q14" s="2">
        <f t="shared" si="16"/>
        <v>-120</v>
      </c>
      <c r="R14" s="31">
        <f t="shared" si="3"/>
        <v>9.8531189031558192E-2</v>
      </c>
      <c r="S14" s="31">
        <f t="shared" si="4"/>
        <v>-6.259127894846651E-4</v>
      </c>
    </row>
    <row r="15" spans="1:19">
      <c r="A15" s="4" t="s">
        <v>25</v>
      </c>
      <c r="B15" s="11">
        <v>0</v>
      </c>
      <c r="C15" s="11">
        <v>1000</v>
      </c>
      <c r="D15" s="2">
        <f t="shared" si="1"/>
        <v>1000</v>
      </c>
      <c r="E15" s="11">
        <v>35</v>
      </c>
      <c r="F15" s="11">
        <v>30</v>
      </c>
      <c r="G15" s="11">
        <v>24</v>
      </c>
      <c r="H15" s="2">
        <f>SUM(F15:G15)</f>
        <v>54</v>
      </c>
      <c r="I15" s="2">
        <f t="shared" si="12"/>
        <v>1.5428571428571429</v>
      </c>
      <c r="J15" s="2">
        <f t="shared" si="13"/>
        <v>30000</v>
      </c>
      <c r="K15" s="2">
        <f t="shared" si="14"/>
        <v>24000</v>
      </c>
      <c r="L15" s="2">
        <f t="shared" si="9"/>
        <v>248553</v>
      </c>
      <c r="M15" s="2">
        <f t="shared" si="10"/>
        <v>215840</v>
      </c>
      <c r="N15" s="2">
        <v>242441</v>
      </c>
      <c r="O15" s="2">
        <v>191720</v>
      </c>
      <c r="P15" s="2">
        <f t="shared" si="15"/>
        <v>-6112</v>
      </c>
      <c r="Q15" s="2">
        <f t="shared" si="16"/>
        <v>-24120</v>
      </c>
      <c r="R15" s="31">
        <f>P15/N15</f>
        <v>-2.5210257340961308E-2</v>
      </c>
      <c r="S15" s="31">
        <f t="shared" si="4"/>
        <v>-0.12580847068641771</v>
      </c>
    </row>
    <row r="16" spans="1:19">
      <c r="A16" s="4" t="s">
        <v>26</v>
      </c>
      <c r="B16" s="11">
        <v>0</v>
      </c>
      <c r="C16" s="11">
        <v>1000</v>
      </c>
      <c r="D16" s="2">
        <f t="shared" si="1"/>
        <v>1000</v>
      </c>
      <c r="E16" s="11">
        <v>35</v>
      </c>
      <c r="F16" s="11">
        <v>22</v>
      </c>
      <c r="G16" s="11">
        <v>17</v>
      </c>
      <c r="H16" s="2">
        <f t="shared" si="11"/>
        <v>39</v>
      </c>
      <c r="I16" s="2">
        <f t="shared" si="12"/>
        <v>1.1142857142857143</v>
      </c>
      <c r="J16" s="2">
        <f t="shared" si="13"/>
        <v>22000</v>
      </c>
      <c r="K16" s="2">
        <f t="shared" si="14"/>
        <v>17000</v>
      </c>
      <c r="L16" s="2">
        <f t="shared" si="9"/>
        <v>270553</v>
      </c>
      <c r="M16" s="2">
        <f t="shared" si="10"/>
        <v>232840</v>
      </c>
      <c r="N16" s="2">
        <v>242441</v>
      </c>
      <c r="O16" s="2">
        <v>191720</v>
      </c>
      <c r="P16" s="2">
        <f t="shared" si="15"/>
        <v>-28112</v>
      </c>
      <c r="Q16" s="2">
        <f t="shared" si="16"/>
        <v>-41120</v>
      </c>
      <c r="R16" s="31">
        <f t="shared" si="3"/>
        <v>-0.11595398468080893</v>
      </c>
      <c r="S16" s="31">
        <f t="shared" si="4"/>
        <v>-0.21447944919674525</v>
      </c>
    </row>
    <row r="17" spans="4:19">
      <c r="D17" s="13">
        <f t="shared" si="1"/>
        <v>0</v>
      </c>
      <c r="H17" s="13">
        <f t="shared" si="11"/>
        <v>0</v>
      </c>
      <c r="I17" s="13" t="e">
        <f t="shared" si="12"/>
        <v>#DIV/0!</v>
      </c>
      <c r="J17" s="13">
        <f t="shared" si="13"/>
        <v>0</v>
      </c>
      <c r="K17" s="13">
        <f t="shared" si="14"/>
        <v>0</v>
      </c>
      <c r="L17" s="13">
        <f t="shared" si="9"/>
        <v>270553</v>
      </c>
      <c r="M17" s="13">
        <f t="shared" si="10"/>
        <v>232840</v>
      </c>
      <c r="N17" s="2">
        <v>242441</v>
      </c>
      <c r="O17" s="2">
        <v>191720</v>
      </c>
      <c r="P17" s="13">
        <f t="shared" si="15"/>
        <v>-28112</v>
      </c>
      <c r="Q17" s="13">
        <f t="shared" si="16"/>
        <v>-41120</v>
      </c>
      <c r="R17" s="31">
        <f t="shared" si="3"/>
        <v>-0.11595398468080893</v>
      </c>
      <c r="S17" s="31">
        <f t="shared" si="4"/>
        <v>-0.21447944919674525</v>
      </c>
    </row>
    <row r="18" spans="4:19">
      <c r="D18" s="2">
        <f t="shared" si="1"/>
        <v>0</v>
      </c>
      <c r="H18" s="2">
        <f t="shared" si="11"/>
        <v>0</v>
      </c>
      <c r="I18" s="2" t="e">
        <f t="shared" si="12"/>
        <v>#DIV/0!</v>
      </c>
      <c r="J18" s="2">
        <f t="shared" si="13"/>
        <v>0</v>
      </c>
      <c r="K18" s="2">
        <f t="shared" si="14"/>
        <v>0</v>
      </c>
      <c r="L18" s="2">
        <f t="shared" si="9"/>
        <v>270553</v>
      </c>
      <c r="M18" s="2">
        <f t="shared" si="10"/>
        <v>232840</v>
      </c>
      <c r="N18" s="2">
        <v>242441</v>
      </c>
      <c r="O18" s="2">
        <v>191720</v>
      </c>
      <c r="P18" s="2">
        <f t="shared" si="15"/>
        <v>-28112</v>
      </c>
      <c r="Q18" s="2">
        <f t="shared" si="16"/>
        <v>-41120</v>
      </c>
      <c r="R18" s="31">
        <f t="shared" si="3"/>
        <v>-0.11595398468080893</v>
      </c>
      <c r="S18" s="31">
        <f t="shared" si="4"/>
        <v>-0.21447944919674525</v>
      </c>
    </row>
    <row r="19" spans="4:19">
      <c r="D19" s="2">
        <f t="shared" si="1"/>
        <v>0</v>
      </c>
      <c r="H19" s="2">
        <f t="shared" si="11"/>
        <v>0</v>
      </c>
      <c r="I19" s="2" t="e">
        <f t="shared" si="12"/>
        <v>#DIV/0!</v>
      </c>
      <c r="J19" s="2">
        <f t="shared" si="13"/>
        <v>0</v>
      </c>
      <c r="K19" s="2">
        <f t="shared" si="14"/>
        <v>0</v>
      </c>
      <c r="L19" s="2">
        <f t="shared" si="9"/>
        <v>270553</v>
      </c>
      <c r="M19" s="2">
        <f t="shared" si="10"/>
        <v>232840</v>
      </c>
      <c r="N19" s="2">
        <v>242441</v>
      </c>
      <c r="O19" s="2">
        <v>191720</v>
      </c>
      <c r="P19" s="2">
        <f t="shared" si="15"/>
        <v>-28112</v>
      </c>
      <c r="Q19" s="2">
        <f t="shared" si="16"/>
        <v>-41120</v>
      </c>
      <c r="R19" s="31">
        <f t="shared" si="3"/>
        <v>-0.11595398468080893</v>
      </c>
      <c r="S19" s="31">
        <f t="shared" si="4"/>
        <v>-0.21447944919674525</v>
      </c>
    </row>
    <row r="20" spans="4:19">
      <c r="D20" s="2">
        <f t="shared" si="1"/>
        <v>0</v>
      </c>
      <c r="H20" s="2">
        <f t="shared" si="11"/>
        <v>0</v>
      </c>
      <c r="I20" s="2" t="e">
        <f t="shared" si="12"/>
        <v>#DIV/0!</v>
      </c>
      <c r="J20" s="2">
        <f t="shared" si="13"/>
        <v>0</v>
      </c>
      <c r="K20" s="2">
        <f t="shared" si="14"/>
        <v>0</v>
      </c>
      <c r="L20" s="2">
        <f t="shared" si="9"/>
        <v>270553</v>
      </c>
      <c r="M20" s="2">
        <f t="shared" si="10"/>
        <v>232840</v>
      </c>
      <c r="N20" s="2">
        <v>242441</v>
      </c>
      <c r="O20" s="2">
        <v>191720</v>
      </c>
      <c r="P20" s="2">
        <f t="shared" si="15"/>
        <v>-28112</v>
      </c>
      <c r="Q20" s="2">
        <f t="shared" si="16"/>
        <v>-41120</v>
      </c>
      <c r="R20" s="31">
        <f t="shared" si="3"/>
        <v>-0.11595398468080893</v>
      </c>
      <c r="S20" s="31">
        <f t="shared" si="4"/>
        <v>-0.21447944919674525</v>
      </c>
    </row>
    <row r="21" spans="4:19">
      <c r="D21" s="2">
        <f t="shared" si="1"/>
        <v>0</v>
      </c>
      <c r="H21" s="2">
        <f t="shared" ref="H21:H22" si="17">SUM(F21:G21)</f>
        <v>0</v>
      </c>
      <c r="I21" s="2" t="e">
        <f t="shared" ref="I21:I22" si="18">H21/E21</f>
        <v>#DIV/0!</v>
      </c>
      <c r="J21" s="2">
        <f t="shared" ref="J21:J22" si="19">F21*D21</f>
        <v>0</v>
      </c>
      <c r="K21" s="2">
        <f t="shared" ref="K21:K22" si="20">G21*D21</f>
        <v>0</v>
      </c>
      <c r="L21" s="2">
        <f t="shared" si="9"/>
        <v>270553</v>
      </c>
      <c r="M21" s="2">
        <f t="shared" si="10"/>
        <v>232840</v>
      </c>
      <c r="N21" s="2">
        <v>242441</v>
      </c>
      <c r="O21" s="2">
        <v>191720</v>
      </c>
      <c r="P21" s="2">
        <f t="shared" ref="P21:P22" si="21">N21-L21</f>
        <v>-28112</v>
      </c>
      <c r="Q21" s="2">
        <f t="shared" ref="Q21:Q22" si="22">O21-M21</f>
        <v>-41120</v>
      </c>
      <c r="R21" s="31">
        <f t="shared" si="3"/>
        <v>-0.11595398468080893</v>
      </c>
      <c r="S21" s="31">
        <f t="shared" si="4"/>
        <v>-0.21447944919674525</v>
      </c>
    </row>
    <row r="22" spans="4:19">
      <c r="D22" s="2">
        <f t="shared" si="1"/>
        <v>0</v>
      </c>
      <c r="H22" s="2">
        <f t="shared" si="17"/>
        <v>0</v>
      </c>
      <c r="I22" s="2" t="e">
        <f t="shared" si="18"/>
        <v>#DIV/0!</v>
      </c>
      <c r="J22" s="2">
        <f t="shared" si="19"/>
        <v>0</v>
      </c>
      <c r="K22" s="2">
        <f t="shared" si="20"/>
        <v>0</v>
      </c>
      <c r="L22" s="2">
        <f t="shared" si="9"/>
        <v>270553</v>
      </c>
      <c r="M22" s="2">
        <f t="shared" si="10"/>
        <v>232840</v>
      </c>
      <c r="N22" s="2">
        <v>242441</v>
      </c>
      <c r="O22" s="2">
        <v>191720</v>
      </c>
      <c r="P22" s="2">
        <f t="shared" si="21"/>
        <v>-28112</v>
      </c>
      <c r="Q22" s="2">
        <f t="shared" si="22"/>
        <v>-41120</v>
      </c>
      <c r="R22" s="31">
        <f t="shared" si="3"/>
        <v>-0.11595398468080893</v>
      </c>
      <c r="S22" s="31">
        <f t="shared" si="4"/>
        <v>-0.21447944919674525</v>
      </c>
    </row>
    <row r="28" spans="4:19">
      <c r="H28">
        <f>39*0.55</f>
        <v>21.450000000000003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C1" zoomScaleNormal="100" workbookViewId="0">
      <selection activeCell="O18" sqref="O18"/>
    </sheetView>
  </sheetViews>
  <sheetFormatPr defaultRowHeight="14.4"/>
  <cols>
    <col min="1" max="1" width="11.33203125" customWidth="1"/>
    <col min="2" max="2" width="51" customWidth="1"/>
    <col min="3" max="3" width="16.109375" customWidth="1"/>
    <col min="4" max="4" width="10.33203125" customWidth="1"/>
    <col min="6" max="6" width="12.5546875" bestFit="1" customWidth="1"/>
    <col min="7" max="7" width="20.109375" style="17" customWidth="1"/>
    <col min="8" max="8" width="17.88671875" customWidth="1"/>
    <col min="9" max="9" width="13" customWidth="1"/>
    <col min="11" max="11" width="24" customWidth="1"/>
  </cols>
  <sheetData>
    <row r="1" spans="1:11">
      <c r="A1" s="5" t="s">
        <v>27</v>
      </c>
      <c r="B1" s="2" t="s">
        <v>28</v>
      </c>
      <c r="C1" s="2" t="s">
        <v>36</v>
      </c>
      <c r="D1" s="2" t="s">
        <v>29</v>
      </c>
      <c r="E1" s="5" t="s">
        <v>30</v>
      </c>
      <c r="F1" s="2" t="s">
        <v>31</v>
      </c>
      <c r="G1" s="18" t="s">
        <v>108</v>
      </c>
      <c r="H1" s="2" t="s">
        <v>107</v>
      </c>
      <c r="I1" s="4" t="s">
        <v>109</v>
      </c>
      <c r="K1" s="36" t="s">
        <v>117</v>
      </c>
    </row>
    <row r="2" spans="1:11">
      <c r="A2" s="22" t="s">
        <v>33</v>
      </c>
      <c r="B2" s="22" t="s">
        <v>34</v>
      </c>
      <c r="C2" s="22" t="s">
        <v>74</v>
      </c>
      <c r="D2" s="22" t="s">
        <v>35</v>
      </c>
      <c r="E2" s="22">
        <v>57720</v>
      </c>
      <c r="F2" s="22">
        <v>38.130000000000003</v>
      </c>
      <c r="G2" s="24"/>
      <c r="H2" s="22">
        <v>43.54</v>
      </c>
      <c r="I2" s="5"/>
      <c r="K2" s="22">
        <v>43.54</v>
      </c>
    </row>
    <row r="3" spans="1:11">
      <c r="A3" s="22" t="s">
        <v>84</v>
      </c>
      <c r="B3" s="22" t="s">
        <v>85</v>
      </c>
      <c r="C3" s="22" t="s">
        <v>76</v>
      </c>
      <c r="D3" s="22" t="s">
        <v>39</v>
      </c>
      <c r="E3" s="22">
        <v>0</v>
      </c>
      <c r="F3" s="22">
        <v>367.41</v>
      </c>
      <c r="G3" s="24"/>
      <c r="H3" s="22">
        <v>372.04</v>
      </c>
      <c r="I3" s="5"/>
      <c r="K3" s="22">
        <v>372.04</v>
      </c>
    </row>
    <row r="4" spans="1:11">
      <c r="A4" s="22" t="s">
        <v>86</v>
      </c>
      <c r="B4" s="22" t="s">
        <v>87</v>
      </c>
      <c r="C4" s="22" t="s">
        <v>74</v>
      </c>
      <c r="D4" s="22" t="s">
        <v>39</v>
      </c>
      <c r="E4" s="22">
        <v>0</v>
      </c>
      <c r="F4" s="22">
        <v>1421.49</v>
      </c>
      <c r="G4" s="24"/>
      <c r="H4" s="22">
        <v>1421.49</v>
      </c>
      <c r="I4" s="5"/>
      <c r="K4" s="22">
        <v>1421.49</v>
      </c>
    </row>
    <row r="5" spans="1:11">
      <c r="A5" s="22" t="s">
        <v>37</v>
      </c>
      <c r="B5" s="11" t="s">
        <v>38</v>
      </c>
      <c r="C5" s="11" t="s">
        <v>75</v>
      </c>
      <c r="D5" s="11" t="s">
        <v>39</v>
      </c>
      <c r="E5" s="11">
        <v>131160</v>
      </c>
      <c r="F5" s="11">
        <v>1442</v>
      </c>
      <c r="G5" s="37"/>
      <c r="H5" s="11">
        <v>1473.01</v>
      </c>
      <c r="I5" s="38"/>
      <c r="J5" s="12"/>
      <c r="K5" s="4">
        <v>1366.89</v>
      </c>
    </row>
    <row r="6" spans="1:11">
      <c r="A6" s="23" t="s">
        <v>40</v>
      </c>
      <c r="B6" s="11" t="s">
        <v>41</v>
      </c>
      <c r="C6" s="11" t="s">
        <v>75</v>
      </c>
      <c r="D6" s="11" t="s">
        <v>39</v>
      </c>
      <c r="E6" s="11">
        <v>185843</v>
      </c>
      <c r="F6" s="11">
        <v>650.79</v>
      </c>
      <c r="G6" s="37"/>
      <c r="H6" s="11">
        <v>691.87</v>
      </c>
      <c r="I6" s="38"/>
      <c r="J6" s="12"/>
      <c r="K6" s="4">
        <v>642.03</v>
      </c>
    </row>
    <row r="7" spans="1:11">
      <c r="A7" s="23" t="s">
        <v>42</v>
      </c>
      <c r="B7" s="11" t="s">
        <v>82</v>
      </c>
      <c r="C7" s="11" t="s">
        <v>76</v>
      </c>
      <c r="D7" s="11" t="s">
        <v>39</v>
      </c>
      <c r="E7" s="11">
        <v>46103</v>
      </c>
      <c r="F7" s="11">
        <v>499.32</v>
      </c>
      <c r="G7" s="37"/>
      <c r="H7" s="11">
        <v>515.97</v>
      </c>
      <c r="I7" s="38"/>
      <c r="J7" s="12"/>
      <c r="K7" s="4">
        <v>478.4</v>
      </c>
    </row>
    <row r="8" spans="1:11">
      <c r="A8" s="23" t="s">
        <v>43</v>
      </c>
      <c r="B8" s="22" t="s">
        <v>44</v>
      </c>
      <c r="C8" s="22" t="s">
        <v>76</v>
      </c>
      <c r="D8" s="22" t="s">
        <v>45</v>
      </c>
      <c r="E8" s="22">
        <v>442.58699999999999</v>
      </c>
      <c r="F8" s="22">
        <v>1395.03</v>
      </c>
      <c r="G8" s="24"/>
      <c r="H8" s="22">
        <v>1586.93</v>
      </c>
      <c r="I8" s="5"/>
      <c r="K8" s="22">
        <v>1586.93</v>
      </c>
    </row>
    <row r="9" spans="1:11">
      <c r="A9" s="23" t="s">
        <v>46</v>
      </c>
      <c r="B9" s="22" t="s">
        <v>47</v>
      </c>
      <c r="C9" s="22" t="s">
        <v>76</v>
      </c>
      <c r="D9" s="22" t="s">
        <v>45</v>
      </c>
      <c r="E9" s="22">
        <v>1032.704</v>
      </c>
      <c r="F9" s="22">
        <v>2185.1</v>
      </c>
      <c r="G9" s="24"/>
      <c r="H9" s="22">
        <v>2486.73</v>
      </c>
      <c r="I9" s="5"/>
      <c r="K9" s="22">
        <v>2486.73</v>
      </c>
    </row>
    <row r="10" spans="1:11">
      <c r="A10" s="23" t="s">
        <v>48</v>
      </c>
      <c r="B10" s="22" t="s">
        <v>50</v>
      </c>
      <c r="C10" s="22" t="s">
        <v>75</v>
      </c>
      <c r="D10" s="22" t="s">
        <v>45</v>
      </c>
      <c r="E10" s="22">
        <v>5976</v>
      </c>
      <c r="F10" s="22">
        <v>1905.43</v>
      </c>
      <c r="G10" s="24"/>
      <c r="H10" s="22">
        <v>2157.1</v>
      </c>
      <c r="I10" s="5"/>
      <c r="K10" s="22">
        <v>2157.1</v>
      </c>
    </row>
    <row r="11" spans="1:11">
      <c r="A11" s="23" t="s">
        <v>49</v>
      </c>
      <c r="B11" s="22" t="s">
        <v>51</v>
      </c>
      <c r="C11" s="22" t="s">
        <v>75</v>
      </c>
      <c r="D11" s="22" t="s">
        <v>45</v>
      </c>
      <c r="E11" s="22">
        <v>13944</v>
      </c>
      <c r="F11" s="22">
        <v>2466.67</v>
      </c>
      <c r="G11" s="24"/>
      <c r="H11" s="22">
        <v>2796.3</v>
      </c>
      <c r="I11" s="5"/>
      <c r="K11" s="22">
        <v>2796.3</v>
      </c>
    </row>
    <row r="12" spans="1:11">
      <c r="A12" s="23" t="s">
        <v>53</v>
      </c>
      <c r="B12" s="22" t="s">
        <v>52</v>
      </c>
      <c r="C12" s="22" t="s">
        <v>77</v>
      </c>
      <c r="D12" s="22" t="s">
        <v>39</v>
      </c>
      <c r="E12" s="22">
        <v>159440</v>
      </c>
      <c r="F12" s="22">
        <v>299.3</v>
      </c>
      <c r="G12" s="24"/>
      <c r="H12" s="22">
        <v>355.88</v>
      </c>
      <c r="I12" s="5"/>
      <c r="K12" s="22">
        <v>355.88</v>
      </c>
    </row>
    <row r="13" spans="1:11">
      <c r="A13" s="23" t="s">
        <v>54</v>
      </c>
      <c r="B13" s="22" t="s">
        <v>83</v>
      </c>
      <c r="C13" s="22" t="s">
        <v>77</v>
      </c>
      <c r="D13" s="22" t="s">
        <v>39</v>
      </c>
      <c r="E13" s="22">
        <v>153668</v>
      </c>
      <c r="F13" s="22">
        <v>206.37</v>
      </c>
      <c r="G13" s="24"/>
      <c r="H13" s="22">
        <v>211.15</v>
      </c>
      <c r="I13" s="5"/>
      <c r="K13" s="22">
        <v>211.15</v>
      </c>
    </row>
    <row r="14" spans="1:11">
      <c r="A14" s="5" t="s">
        <v>55</v>
      </c>
      <c r="B14" s="2" t="s">
        <v>56</v>
      </c>
      <c r="C14" s="2" t="s">
        <v>76</v>
      </c>
      <c r="D14" s="2" t="s">
        <v>45</v>
      </c>
      <c r="E14" s="2">
        <v>699.16600000000005</v>
      </c>
      <c r="F14" s="2">
        <v>1316.45</v>
      </c>
      <c r="G14" s="18"/>
      <c r="H14" s="22">
        <v>1344.22</v>
      </c>
      <c r="I14" s="5"/>
      <c r="K14" s="22">
        <v>1344.22</v>
      </c>
    </row>
    <row r="15" spans="1:11">
      <c r="A15" s="5" t="s">
        <v>57</v>
      </c>
      <c r="B15" s="2" t="s">
        <v>58</v>
      </c>
      <c r="C15" s="2" t="s">
        <v>76</v>
      </c>
      <c r="D15" s="2" t="s">
        <v>45</v>
      </c>
      <c r="E15" s="2">
        <v>349.58300000000003</v>
      </c>
      <c r="F15" s="2">
        <v>4564.59</v>
      </c>
      <c r="G15" s="18"/>
      <c r="H15" s="22">
        <v>4900.41</v>
      </c>
      <c r="I15" s="5"/>
      <c r="K15" s="22">
        <v>4900.41</v>
      </c>
    </row>
    <row r="16" spans="1:11">
      <c r="A16" s="5" t="s">
        <v>57</v>
      </c>
      <c r="B16" s="2" t="s">
        <v>59</v>
      </c>
      <c r="C16" s="2" t="s">
        <v>76</v>
      </c>
      <c r="D16" s="2" t="s">
        <v>45</v>
      </c>
      <c r="E16" s="2">
        <v>349.58300000000003</v>
      </c>
      <c r="F16" s="2">
        <v>5028.49</v>
      </c>
      <c r="G16" s="18"/>
      <c r="H16" s="22">
        <v>5401.5</v>
      </c>
      <c r="I16" s="5"/>
      <c r="K16" s="22">
        <v>5401.5</v>
      </c>
    </row>
    <row r="17" spans="1:11">
      <c r="A17" s="5" t="s">
        <v>110</v>
      </c>
      <c r="B17" s="2" t="s">
        <v>61</v>
      </c>
      <c r="C17" s="2" t="s">
        <v>76</v>
      </c>
      <c r="D17" s="2" t="s">
        <v>35</v>
      </c>
      <c r="E17" s="2">
        <v>23384.661</v>
      </c>
      <c r="F17" s="2">
        <v>250.13</v>
      </c>
      <c r="G17" s="18"/>
      <c r="H17" s="22">
        <v>286.16000000000003</v>
      </c>
      <c r="I17" s="5"/>
      <c r="K17" s="22">
        <v>286.16000000000003</v>
      </c>
    </row>
    <row r="18" spans="1:11">
      <c r="A18" s="5" t="s">
        <v>63</v>
      </c>
      <c r="B18" s="2" t="s">
        <v>62</v>
      </c>
      <c r="C18" s="2" t="s">
        <v>76</v>
      </c>
      <c r="D18" s="2" t="s">
        <v>45</v>
      </c>
      <c r="E18" s="2">
        <v>200</v>
      </c>
      <c r="F18" s="2">
        <v>218.36</v>
      </c>
      <c r="G18" s="18"/>
      <c r="H18" s="2">
        <v>248.87</v>
      </c>
      <c r="I18" s="5"/>
      <c r="K18" s="2">
        <v>248.87</v>
      </c>
    </row>
    <row r="19" spans="1:11">
      <c r="A19" s="5" t="s">
        <v>88</v>
      </c>
      <c r="B19" s="2" t="s">
        <v>89</v>
      </c>
      <c r="C19" s="2" t="s">
        <v>74</v>
      </c>
      <c r="D19" s="2" t="s">
        <v>90</v>
      </c>
      <c r="E19" s="2">
        <v>0</v>
      </c>
      <c r="F19" s="2">
        <v>262.3</v>
      </c>
      <c r="G19" s="18"/>
      <c r="H19" s="2">
        <v>298.58999999999997</v>
      </c>
      <c r="I19" s="5"/>
      <c r="K19" s="2">
        <v>298.58999999999997</v>
      </c>
    </row>
    <row r="20" spans="1:11">
      <c r="A20" s="5" t="s">
        <v>91</v>
      </c>
      <c r="B20" s="2" t="s">
        <v>92</v>
      </c>
      <c r="C20" s="2" t="s">
        <v>74</v>
      </c>
      <c r="D20" s="2" t="s">
        <v>45</v>
      </c>
      <c r="E20" s="2">
        <v>0</v>
      </c>
      <c r="F20" s="2">
        <v>141.72</v>
      </c>
      <c r="G20" s="18"/>
      <c r="H20" s="2">
        <v>173.46</v>
      </c>
      <c r="I20" s="5"/>
      <c r="K20" s="2">
        <v>173.46</v>
      </c>
    </row>
    <row r="21" spans="1:11">
      <c r="A21" s="5" t="s">
        <v>65</v>
      </c>
      <c r="B21" s="2" t="s">
        <v>64</v>
      </c>
      <c r="C21" s="2" t="s">
        <v>74</v>
      </c>
      <c r="D21" s="2" t="s">
        <v>39</v>
      </c>
      <c r="E21" s="2">
        <v>2</v>
      </c>
      <c r="F21" s="2">
        <v>508581.43</v>
      </c>
      <c r="G21" s="18"/>
      <c r="H21" s="2">
        <v>508581.43</v>
      </c>
      <c r="I21" s="5"/>
      <c r="K21" s="2">
        <v>508581.43</v>
      </c>
    </row>
    <row r="22" spans="1:11">
      <c r="A22" s="5" t="s">
        <v>66</v>
      </c>
      <c r="B22" s="2" t="s">
        <v>67</v>
      </c>
      <c r="C22" s="2" t="s">
        <v>74</v>
      </c>
      <c r="D22" s="2" t="s">
        <v>35</v>
      </c>
      <c r="E22" s="2">
        <v>48100</v>
      </c>
      <c r="F22" s="2">
        <v>33.94</v>
      </c>
      <c r="G22" s="18"/>
      <c r="H22" s="2">
        <v>33.94</v>
      </c>
      <c r="I22" s="5"/>
      <c r="K22" s="2">
        <v>33.94</v>
      </c>
    </row>
    <row r="23" spans="1:11">
      <c r="A23" s="5" t="s">
        <v>69</v>
      </c>
      <c r="B23" s="2" t="s">
        <v>68</v>
      </c>
      <c r="C23" s="2" t="s">
        <v>74</v>
      </c>
      <c r="D23" s="2" t="s">
        <v>39</v>
      </c>
      <c r="E23" s="2">
        <v>2</v>
      </c>
      <c r="F23" s="2">
        <v>1871.325</v>
      </c>
      <c r="G23" s="18"/>
      <c r="H23" s="2">
        <v>1816.63</v>
      </c>
      <c r="I23" s="5"/>
      <c r="K23" s="2">
        <v>1816.63</v>
      </c>
    </row>
    <row r="24" spans="1:11">
      <c r="A24" s="5" t="s">
        <v>93</v>
      </c>
      <c r="B24" s="2" t="s">
        <v>94</v>
      </c>
      <c r="C24" s="2" t="s">
        <v>74</v>
      </c>
      <c r="D24" s="2" t="s">
        <v>39</v>
      </c>
      <c r="E24" s="2">
        <v>0</v>
      </c>
      <c r="F24" s="2">
        <v>2760</v>
      </c>
      <c r="G24" s="18"/>
      <c r="H24" s="2">
        <v>2760</v>
      </c>
      <c r="I24" s="5"/>
      <c r="K24" s="2">
        <v>2760</v>
      </c>
    </row>
    <row r="25" spans="1:11">
      <c r="A25" s="5" t="s">
        <v>70</v>
      </c>
      <c r="B25" s="2" t="s">
        <v>71</v>
      </c>
      <c r="C25" s="2" t="s">
        <v>76</v>
      </c>
      <c r="D25" s="2" t="s">
        <v>39</v>
      </c>
      <c r="E25" s="2">
        <v>5772</v>
      </c>
      <c r="F25" s="2">
        <v>193.92</v>
      </c>
      <c r="G25" s="18"/>
      <c r="H25" s="2">
        <v>193.53</v>
      </c>
      <c r="I25" s="5"/>
      <c r="K25" s="2">
        <v>193.53</v>
      </c>
    </row>
    <row r="26" spans="1:11">
      <c r="A26" s="27" t="s">
        <v>95</v>
      </c>
      <c r="B26" s="2" t="s">
        <v>96</v>
      </c>
      <c r="C26" s="2" t="s">
        <v>74</v>
      </c>
      <c r="D26" s="2" t="s">
        <v>45</v>
      </c>
      <c r="E26" s="2">
        <v>0</v>
      </c>
      <c r="F26" s="2">
        <v>14932.16</v>
      </c>
      <c r="G26" s="18"/>
      <c r="H26" s="2">
        <v>13095</v>
      </c>
      <c r="I26" s="5"/>
      <c r="K26" s="2">
        <v>13095</v>
      </c>
    </row>
    <row r="27" spans="1:11">
      <c r="A27" s="27" t="s">
        <v>97</v>
      </c>
      <c r="B27" s="2" t="s">
        <v>99</v>
      </c>
      <c r="C27" s="2" t="s">
        <v>74</v>
      </c>
      <c r="D27" s="2" t="s">
        <v>98</v>
      </c>
      <c r="E27" s="2">
        <v>0</v>
      </c>
      <c r="F27" s="2">
        <v>90.32</v>
      </c>
      <c r="G27" s="18"/>
      <c r="H27" s="2">
        <v>99</v>
      </c>
      <c r="I27" s="5"/>
      <c r="K27" s="2">
        <v>99</v>
      </c>
    </row>
    <row r="28" spans="1:11">
      <c r="A28" s="33" t="s">
        <v>100</v>
      </c>
      <c r="B28" s="19" t="s">
        <v>101</v>
      </c>
      <c r="C28" s="19" t="s">
        <v>74</v>
      </c>
      <c r="D28" s="19" t="s">
        <v>35</v>
      </c>
      <c r="E28" s="19">
        <v>0</v>
      </c>
      <c r="F28" s="19">
        <v>695.99</v>
      </c>
      <c r="G28" s="28"/>
      <c r="H28" s="19">
        <v>695.99</v>
      </c>
      <c r="I28" s="20"/>
      <c r="K28" s="19">
        <v>695.99</v>
      </c>
    </row>
    <row r="29" spans="1:11">
      <c r="A29" s="27" t="s">
        <v>103</v>
      </c>
      <c r="B29" s="2" t="s">
        <v>102</v>
      </c>
      <c r="C29" s="2" t="s">
        <v>74</v>
      </c>
      <c r="D29" s="2" t="s">
        <v>45</v>
      </c>
      <c r="E29" s="2">
        <v>0</v>
      </c>
      <c r="F29" s="2">
        <v>238.12</v>
      </c>
      <c r="G29" s="18"/>
      <c r="H29" s="2">
        <v>238.12</v>
      </c>
      <c r="I29" s="5"/>
      <c r="K29" s="2">
        <v>238.12</v>
      </c>
    </row>
    <row r="30" spans="1:11">
      <c r="A30" t="s">
        <v>72</v>
      </c>
      <c r="B30" s="2" t="s">
        <v>73</v>
      </c>
      <c r="C30" s="4" t="s">
        <v>76</v>
      </c>
      <c r="D30" s="2" t="s">
        <v>45</v>
      </c>
      <c r="E30" s="2">
        <v>14.43</v>
      </c>
      <c r="F30" s="2">
        <v>13107.46</v>
      </c>
      <c r="G30" s="18"/>
      <c r="H30" s="2">
        <v>13107</v>
      </c>
      <c r="I30" s="5"/>
      <c r="K30" s="2">
        <v>13107</v>
      </c>
    </row>
    <row r="31" spans="1:11">
      <c r="A31" s="5" t="s">
        <v>93</v>
      </c>
      <c r="B31" s="2" t="s">
        <v>104</v>
      </c>
      <c r="C31" s="4" t="s">
        <v>74</v>
      </c>
      <c r="D31" s="2" t="s">
        <v>105</v>
      </c>
      <c r="E31" s="2">
        <v>0</v>
      </c>
      <c r="F31" s="2">
        <v>263387.5</v>
      </c>
      <c r="G31" s="18"/>
      <c r="H31" s="2">
        <v>26388.5</v>
      </c>
      <c r="I31" s="5"/>
      <c r="K31" s="2">
        <v>26388.5</v>
      </c>
    </row>
    <row r="32" spans="1:11">
      <c r="B32" s="25"/>
      <c r="C32" s="3"/>
      <c r="D32" s="25"/>
      <c r="E32" s="25"/>
      <c r="F32" s="25"/>
      <c r="G32" s="26"/>
    </row>
    <row r="33" spans="3:6">
      <c r="C33" s="1"/>
    </row>
    <row r="34" spans="3:6">
      <c r="F34">
        <f>SUMPRODUCT(E2:E31,K2:K31)</f>
        <v>482750463.90164006</v>
      </c>
    </row>
    <row r="35" spans="3:6">
      <c r="D35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C1" zoomScale="145" zoomScaleNormal="145" workbookViewId="0">
      <selection activeCell="H4" sqref="H4"/>
    </sheetView>
  </sheetViews>
  <sheetFormatPr defaultRowHeight="14.4"/>
  <cols>
    <col min="1" max="1" width="11.33203125" customWidth="1"/>
    <col min="2" max="2" width="51" customWidth="1"/>
    <col min="3" max="3" width="16.109375" customWidth="1"/>
    <col min="4" max="4" width="10.33203125" customWidth="1"/>
    <col min="5" max="5" width="20" style="17" customWidth="1"/>
    <col min="6" max="6" width="15.33203125" bestFit="1" customWidth="1"/>
    <col min="7" max="7" width="20.109375" style="17" customWidth="1"/>
    <col min="8" max="8" width="17.88671875" customWidth="1"/>
    <col min="9" max="9" width="14.6640625" customWidth="1"/>
    <col min="10" max="10" width="16.88671875" customWidth="1"/>
  </cols>
  <sheetData>
    <row r="1" spans="1:10">
      <c r="A1" s="5" t="s">
        <v>27</v>
      </c>
      <c r="B1" s="2" t="s">
        <v>28</v>
      </c>
      <c r="C1" s="2" t="s">
        <v>36</v>
      </c>
      <c r="D1" s="2" t="s">
        <v>29</v>
      </c>
      <c r="E1" s="21" t="s">
        <v>30</v>
      </c>
      <c r="F1" s="2" t="s">
        <v>106</v>
      </c>
      <c r="G1" s="18" t="s">
        <v>32</v>
      </c>
      <c r="H1" s="2" t="s">
        <v>107</v>
      </c>
    </row>
    <row r="2" spans="1:10">
      <c r="A2" s="22" t="s">
        <v>33</v>
      </c>
      <c r="B2" s="22" t="s">
        <v>34</v>
      </c>
      <c r="C2" s="22" t="s">
        <v>74</v>
      </c>
      <c r="D2" s="22" t="s">
        <v>35</v>
      </c>
      <c r="E2" s="24">
        <v>390000</v>
      </c>
      <c r="F2" s="22">
        <v>38.130000000000003</v>
      </c>
      <c r="G2" s="24"/>
      <c r="H2" s="2">
        <v>43.54</v>
      </c>
      <c r="J2" s="2">
        <v>43.54</v>
      </c>
    </row>
    <row r="3" spans="1:10">
      <c r="A3" s="22" t="s">
        <v>84</v>
      </c>
      <c r="B3" s="22" t="s">
        <v>85</v>
      </c>
      <c r="C3" s="22" t="s">
        <v>76</v>
      </c>
      <c r="D3" s="22" t="s">
        <v>39</v>
      </c>
      <c r="E3" s="24">
        <v>159</v>
      </c>
      <c r="F3" s="22">
        <v>367.41</v>
      </c>
      <c r="G3" s="24"/>
      <c r="H3" s="2">
        <v>372.04</v>
      </c>
      <c r="J3" s="2">
        <v>372.04</v>
      </c>
    </row>
    <row r="4" spans="1:10">
      <c r="A4" s="22" t="s">
        <v>86</v>
      </c>
      <c r="B4" s="22" t="s">
        <v>87</v>
      </c>
      <c r="C4" s="22" t="s">
        <v>74</v>
      </c>
      <c r="D4" s="22" t="s">
        <v>39</v>
      </c>
      <c r="E4" s="24">
        <v>15</v>
      </c>
      <c r="F4" s="22">
        <v>1421.49</v>
      </c>
      <c r="G4" s="24"/>
      <c r="H4" s="2">
        <v>1421.49</v>
      </c>
      <c r="J4" s="2">
        <v>1421.49</v>
      </c>
    </row>
    <row r="5" spans="1:10">
      <c r="A5" s="22" t="s">
        <v>37</v>
      </c>
      <c r="B5" s="22" t="s">
        <v>38</v>
      </c>
      <c r="C5" s="22" t="s">
        <v>75</v>
      </c>
      <c r="D5" s="22" t="s">
        <v>39</v>
      </c>
      <c r="E5" s="24">
        <v>1131194</v>
      </c>
      <c r="F5" s="19">
        <v>1442</v>
      </c>
      <c r="G5" s="24"/>
      <c r="H5" s="2">
        <v>1473.01</v>
      </c>
      <c r="J5" s="2">
        <v>1473.01</v>
      </c>
    </row>
    <row r="6" spans="1:10">
      <c r="A6" s="22" t="s">
        <v>40</v>
      </c>
      <c r="B6" s="22" t="s">
        <v>41</v>
      </c>
      <c r="C6" s="22" t="s">
        <v>75</v>
      </c>
      <c r="D6" s="22" t="s">
        <v>39</v>
      </c>
      <c r="E6" s="24">
        <v>1602801</v>
      </c>
      <c r="F6" s="19">
        <v>650.79</v>
      </c>
      <c r="G6" s="24"/>
      <c r="H6" s="2">
        <v>691.87</v>
      </c>
      <c r="J6" s="2">
        <v>691.87</v>
      </c>
    </row>
    <row r="7" spans="1:10">
      <c r="A7" s="19" t="s">
        <v>42</v>
      </c>
      <c r="B7" s="19" t="s">
        <v>82</v>
      </c>
      <c r="C7" s="19" t="s">
        <v>76</v>
      </c>
      <c r="D7" s="19" t="s">
        <v>39</v>
      </c>
      <c r="E7" s="28">
        <v>411975</v>
      </c>
      <c r="F7" s="19">
        <v>499.32</v>
      </c>
      <c r="G7" s="28"/>
      <c r="H7" s="19">
        <v>515.97</v>
      </c>
      <c r="I7" s="49"/>
      <c r="J7" s="19">
        <v>515.97</v>
      </c>
    </row>
    <row r="8" spans="1:10">
      <c r="A8" s="19" t="s">
        <v>43</v>
      </c>
      <c r="B8" s="19" t="s">
        <v>44</v>
      </c>
      <c r="C8" s="19" t="s">
        <v>76</v>
      </c>
      <c r="D8" s="19" t="s">
        <v>45</v>
      </c>
      <c r="E8" s="28">
        <v>3954.96</v>
      </c>
      <c r="F8" s="19">
        <v>1395.03</v>
      </c>
      <c r="G8" s="28"/>
      <c r="H8" s="19">
        <v>1586.93</v>
      </c>
      <c r="I8" s="49"/>
      <c r="J8" s="19">
        <v>1586.93</v>
      </c>
    </row>
    <row r="9" spans="1:10">
      <c r="A9" s="19" t="s">
        <v>46</v>
      </c>
      <c r="B9" s="19" t="s">
        <v>47</v>
      </c>
      <c r="C9" s="19" t="s">
        <v>76</v>
      </c>
      <c r="D9" s="19" t="s">
        <v>45</v>
      </c>
      <c r="E9" s="28">
        <v>9228.24</v>
      </c>
      <c r="F9" s="19">
        <v>2185.1</v>
      </c>
      <c r="G9" s="28"/>
      <c r="H9" s="19">
        <v>2486.73</v>
      </c>
      <c r="I9" s="49"/>
      <c r="J9" s="19">
        <v>2486.73</v>
      </c>
    </row>
    <row r="10" spans="1:10">
      <c r="A10" s="23" t="s">
        <v>48</v>
      </c>
      <c r="B10" s="22" t="s">
        <v>50</v>
      </c>
      <c r="C10" s="22" t="s">
        <v>75</v>
      </c>
      <c r="D10" s="22" t="s">
        <v>45</v>
      </c>
      <c r="E10" s="24">
        <v>51540.044999999998</v>
      </c>
      <c r="F10" s="22">
        <v>1905.43</v>
      </c>
      <c r="G10" s="24"/>
      <c r="H10" s="2">
        <v>2157.1</v>
      </c>
      <c r="J10" s="2">
        <v>2157.1</v>
      </c>
    </row>
    <row r="11" spans="1:10">
      <c r="A11" s="23" t="s">
        <v>49</v>
      </c>
      <c r="B11" s="22" t="s">
        <v>51</v>
      </c>
      <c r="C11" s="22" t="s">
        <v>75</v>
      </c>
      <c r="D11" s="22" t="s">
        <v>45</v>
      </c>
      <c r="E11" s="24">
        <v>120260.015</v>
      </c>
      <c r="F11" s="22">
        <v>2466.67</v>
      </c>
      <c r="G11" s="24"/>
      <c r="H11" s="2">
        <v>2796.3</v>
      </c>
      <c r="J11" s="2">
        <v>2796.3</v>
      </c>
    </row>
    <row r="12" spans="1:10">
      <c r="A12" s="23" t="s">
        <v>53</v>
      </c>
      <c r="B12" s="22" t="s">
        <v>52</v>
      </c>
      <c r="C12" s="22" t="s">
        <v>77</v>
      </c>
      <c r="D12" s="22" t="s">
        <v>39</v>
      </c>
      <c r="E12" s="24">
        <v>939610</v>
      </c>
      <c r="F12" s="22">
        <v>299.3</v>
      </c>
      <c r="G12" s="28">
        <f>F12/0.133</f>
        <v>2250.375939849624</v>
      </c>
      <c r="H12" s="2">
        <v>355.88</v>
      </c>
      <c r="I12">
        <f>H12/0.133</f>
        <v>2675.7894736842104</v>
      </c>
      <c r="J12" s="2">
        <v>355.88</v>
      </c>
    </row>
    <row r="13" spans="1:10">
      <c r="A13" s="5" t="s">
        <v>54</v>
      </c>
      <c r="B13" s="2" t="s">
        <v>83</v>
      </c>
      <c r="C13" s="2" t="s">
        <v>77</v>
      </c>
      <c r="D13" s="2" t="s">
        <v>39</v>
      </c>
      <c r="E13" s="24">
        <v>1669920</v>
      </c>
      <c r="F13" s="2">
        <v>206.37</v>
      </c>
      <c r="G13" s="18">
        <f>F13/0.133</f>
        <v>1551.6541353383459</v>
      </c>
      <c r="H13" s="2">
        <v>211.15</v>
      </c>
      <c r="I13">
        <f>H13/0.133</f>
        <v>1587.593984962406</v>
      </c>
      <c r="J13" s="2">
        <v>211.15</v>
      </c>
    </row>
    <row r="14" spans="1:10">
      <c r="A14" s="20" t="s">
        <v>55</v>
      </c>
      <c r="B14" s="19" t="s">
        <v>56</v>
      </c>
      <c r="C14" s="19" t="s">
        <v>76</v>
      </c>
      <c r="D14" s="19" t="s">
        <v>45</v>
      </c>
      <c r="E14" s="28">
        <v>6624.52</v>
      </c>
      <c r="F14" s="19">
        <v>1316.45</v>
      </c>
      <c r="G14" s="28"/>
      <c r="H14" s="19">
        <v>1344.22</v>
      </c>
      <c r="J14" s="19">
        <v>1344.22</v>
      </c>
    </row>
    <row r="15" spans="1:10">
      <c r="A15" s="20" t="s">
        <v>57</v>
      </c>
      <c r="B15" s="19" t="s">
        <v>58</v>
      </c>
      <c r="C15" s="19" t="s">
        <v>76</v>
      </c>
      <c r="D15" s="19" t="s">
        <v>45</v>
      </c>
      <c r="E15" s="28">
        <v>3312.26</v>
      </c>
      <c r="F15" s="19">
        <v>4564.59</v>
      </c>
      <c r="G15" s="28"/>
      <c r="H15" s="19">
        <v>4900.41</v>
      </c>
      <c r="J15" s="19">
        <v>4900.41</v>
      </c>
    </row>
    <row r="16" spans="1:10">
      <c r="A16" s="20" t="s">
        <v>57</v>
      </c>
      <c r="B16" s="19" t="s">
        <v>59</v>
      </c>
      <c r="C16" s="19" t="s">
        <v>76</v>
      </c>
      <c r="D16" s="19" t="s">
        <v>45</v>
      </c>
      <c r="E16" s="28">
        <v>3312.2669999999998</v>
      </c>
      <c r="F16" s="19">
        <v>5028.49</v>
      </c>
      <c r="G16" s="28"/>
      <c r="H16" s="19">
        <v>5401.5</v>
      </c>
      <c r="J16" s="19">
        <v>5401.5</v>
      </c>
    </row>
    <row r="17" spans="1:10">
      <c r="A17" s="20" t="s">
        <v>60</v>
      </c>
      <c r="B17" s="19" t="s">
        <v>61</v>
      </c>
      <c r="C17" s="19" t="s">
        <v>76</v>
      </c>
      <c r="D17" s="19" t="s">
        <v>35</v>
      </c>
      <c r="E17" s="28">
        <v>99519.773000000001</v>
      </c>
      <c r="F17" s="19">
        <v>250.13</v>
      </c>
      <c r="G17" s="28"/>
      <c r="H17" s="19">
        <v>286.16000000000003</v>
      </c>
      <c r="J17" s="19">
        <v>286.16000000000003</v>
      </c>
    </row>
    <row r="18" spans="1:10">
      <c r="A18" s="20" t="s">
        <v>63</v>
      </c>
      <c r="B18" s="19" t="s">
        <v>62</v>
      </c>
      <c r="C18" s="19" t="s">
        <v>76</v>
      </c>
      <c r="D18" s="19" t="s">
        <v>45</v>
      </c>
      <c r="E18" s="28">
        <v>28267.200000000001</v>
      </c>
      <c r="F18" s="19">
        <v>218.36</v>
      </c>
      <c r="G18" s="28"/>
      <c r="H18" s="19">
        <v>248.87</v>
      </c>
      <c r="J18" s="19">
        <v>248.87</v>
      </c>
    </row>
    <row r="19" spans="1:10">
      <c r="A19" s="5" t="s">
        <v>88</v>
      </c>
      <c r="B19" s="2" t="s">
        <v>89</v>
      </c>
      <c r="C19" s="2" t="s">
        <v>74</v>
      </c>
      <c r="D19" s="2" t="s">
        <v>90</v>
      </c>
      <c r="E19" s="24">
        <v>133502</v>
      </c>
      <c r="F19" s="2">
        <v>262.3</v>
      </c>
      <c r="G19" s="18"/>
      <c r="H19" s="2">
        <v>298.58999999999997</v>
      </c>
      <c r="J19" s="2">
        <v>298.58999999999997</v>
      </c>
    </row>
    <row r="20" spans="1:10">
      <c r="A20" s="5" t="s">
        <v>91</v>
      </c>
      <c r="B20" s="2" t="s">
        <v>92</v>
      </c>
      <c r="C20" s="2" t="s">
        <v>74</v>
      </c>
      <c r="D20" s="2" t="s">
        <v>45</v>
      </c>
      <c r="E20" s="24">
        <v>246313.44</v>
      </c>
      <c r="F20" s="2">
        <v>141.72</v>
      </c>
      <c r="G20" s="18"/>
      <c r="H20" s="2">
        <v>173.46</v>
      </c>
      <c r="J20" s="2">
        <v>173.46</v>
      </c>
    </row>
    <row r="21" spans="1:10">
      <c r="A21" s="5" t="s">
        <v>65</v>
      </c>
      <c r="B21" s="2" t="s">
        <v>64</v>
      </c>
      <c r="C21" s="2" t="s">
        <v>74</v>
      </c>
      <c r="D21" s="2" t="s">
        <v>39</v>
      </c>
      <c r="E21" s="24">
        <v>16</v>
      </c>
      <c r="F21" s="2">
        <v>508581.43</v>
      </c>
      <c r="G21" s="18"/>
      <c r="H21" s="2">
        <v>508581.43</v>
      </c>
      <c r="J21" s="2">
        <v>508581.43</v>
      </c>
    </row>
    <row r="22" spans="1:10">
      <c r="A22" s="5" t="s">
        <v>66</v>
      </c>
      <c r="B22" s="2" t="s">
        <v>67</v>
      </c>
      <c r="C22" s="2" t="s">
        <v>74</v>
      </c>
      <c r="D22" s="2" t="s">
        <v>35</v>
      </c>
      <c r="E22" s="24">
        <v>780000</v>
      </c>
      <c r="F22" s="2">
        <v>33.94</v>
      </c>
      <c r="G22" s="18"/>
      <c r="H22" s="2">
        <v>33.94</v>
      </c>
      <c r="J22" s="2">
        <v>33.94</v>
      </c>
    </row>
    <row r="23" spans="1:10">
      <c r="A23" s="5" t="s">
        <v>69</v>
      </c>
      <c r="B23" s="2" t="s">
        <v>68</v>
      </c>
      <c r="C23" s="2" t="s">
        <v>74</v>
      </c>
      <c r="D23" s="2" t="s">
        <v>39</v>
      </c>
      <c r="E23" s="24">
        <v>81</v>
      </c>
      <c r="F23" s="2">
        <v>1871.325</v>
      </c>
      <c r="G23" s="18"/>
      <c r="H23" s="2">
        <v>1816.63</v>
      </c>
      <c r="J23" s="2">
        <v>1816.63</v>
      </c>
    </row>
    <row r="24" spans="1:10">
      <c r="A24" s="5" t="s">
        <v>93</v>
      </c>
      <c r="B24" s="2" t="s">
        <v>94</v>
      </c>
      <c r="C24" s="2" t="s">
        <v>74</v>
      </c>
      <c r="D24" s="2" t="s">
        <v>39</v>
      </c>
      <c r="E24" s="24">
        <v>81</v>
      </c>
      <c r="F24" s="2">
        <v>2760</v>
      </c>
      <c r="G24" s="18"/>
      <c r="H24" s="2">
        <v>2760</v>
      </c>
      <c r="J24" s="2">
        <v>2760</v>
      </c>
    </row>
    <row r="25" spans="1:10">
      <c r="A25" s="5" t="s">
        <v>70</v>
      </c>
      <c r="B25" s="2" t="s">
        <v>71</v>
      </c>
      <c r="C25" s="2" t="s">
        <v>76</v>
      </c>
      <c r="D25" s="2" t="s">
        <v>39</v>
      </c>
      <c r="E25" s="24">
        <v>199.27699999999999</v>
      </c>
      <c r="F25" s="2">
        <v>193.92</v>
      </c>
      <c r="G25" s="18"/>
      <c r="H25" s="2">
        <v>193.53</v>
      </c>
      <c r="J25" s="2">
        <v>193.53</v>
      </c>
    </row>
    <row r="26" spans="1:10">
      <c r="A26" s="30" t="s">
        <v>95</v>
      </c>
      <c r="B26" s="2" t="s">
        <v>96</v>
      </c>
      <c r="C26" s="2" t="s">
        <v>74</v>
      </c>
      <c r="D26" s="2" t="s">
        <v>45</v>
      </c>
      <c r="E26" s="24">
        <v>199.26599999999999</v>
      </c>
      <c r="F26" s="2">
        <v>14932.16</v>
      </c>
      <c r="G26" s="18"/>
      <c r="H26" s="2">
        <v>13095</v>
      </c>
      <c r="J26" s="2">
        <v>13095</v>
      </c>
    </row>
    <row r="27" spans="1:10">
      <c r="A27" s="30" t="s">
        <v>97</v>
      </c>
      <c r="B27" s="2" t="s">
        <v>99</v>
      </c>
      <c r="C27" s="2" t="s">
        <v>74</v>
      </c>
      <c r="D27" s="2" t="s">
        <v>98</v>
      </c>
      <c r="E27" s="24">
        <v>13338.06</v>
      </c>
      <c r="F27" s="2">
        <v>90.32</v>
      </c>
      <c r="G27" s="18"/>
      <c r="H27" s="2">
        <v>99</v>
      </c>
      <c r="J27" s="2">
        <v>99</v>
      </c>
    </row>
    <row r="28" spans="1:10">
      <c r="A28" s="30" t="s">
        <v>100</v>
      </c>
      <c r="B28" s="2" t="s">
        <v>101</v>
      </c>
      <c r="C28" s="2" t="s">
        <v>74</v>
      </c>
      <c r="D28" s="2" t="s">
        <v>35</v>
      </c>
      <c r="E28" s="24">
        <v>830.23</v>
      </c>
      <c r="F28" s="2">
        <v>695.99</v>
      </c>
      <c r="G28" s="18"/>
      <c r="H28" s="2">
        <v>695.99</v>
      </c>
      <c r="J28" s="2">
        <v>695.99</v>
      </c>
    </row>
    <row r="29" spans="1:10">
      <c r="A29" s="30" t="s">
        <v>103</v>
      </c>
      <c r="B29" s="2" t="s">
        <v>102</v>
      </c>
      <c r="C29" s="2" t="s">
        <v>74</v>
      </c>
      <c r="D29" s="2" t="s">
        <v>45</v>
      </c>
      <c r="E29" s="24">
        <v>7288.5</v>
      </c>
      <c r="F29" s="2">
        <v>238.12</v>
      </c>
      <c r="G29" s="18"/>
      <c r="H29" s="2">
        <v>238.12</v>
      </c>
      <c r="J29" s="2">
        <v>238.12</v>
      </c>
    </row>
    <row r="30" spans="1:10">
      <c r="A30" s="5" t="s">
        <v>72</v>
      </c>
      <c r="B30" s="2" t="s">
        <v>73</v>
      </c>
      <c r="C30" s="4" t="s">
        <v>76</v>
      </c>
      <c r="D30" s="2" t="s">
        <v>45</v>
      </c>
      <c r="E30" s="24">
        <v>117.75</v>
      </c>
      <c r="F30" s="2">
        <v>13107.46</v>
      </c>
      <c r="G30" s="18"/>
      <c r="H30" s="2">
        <v>13107</v>
      </c>
      <c r="J30" s="2">
        <v>13107</v>
      </c>
    </row>
    <row r="31" spans="1:10">
      <c r="A31" s="5" t="s">
        <v>93</v>
      </c>
      <c r="B31" s="2" t="s">
        <v>104</v>
      </c>
      <c r="C31" s="4" t="s">
        <v>74</v>
      </c>
      <c r="D31" s="2" t="s">
        <v>105</v>
      </c>
      <c r="E31" s="24">
        <v>6</v>
      </c>
      <c r="F31" s="2">
        <v>263387.5</v>
      </c>
      <c r="G31" s="18"/>
      <c r="H31" s="2">
        <v>26388.5</v>
      </c>
      <c r="J31" s="2">
        <v>26388.5</v>
      </c>
    </row>
    <row r="32" spans="1:10">
      <c r="B32" s="25"/>
      <c r="C32" s="3"/>
      <c r="D32" s="25"/>
      <c r="E32" s="29"/>
      <c r="F32" s="25"/>
      <c r="G32" s="26"/>
      <c r="H32" s="1">
        <f>SUMPRODUCT(E2:E31,H2:H31)</f>
        <v>4372587795.1470909</v>
      </c>
    </row>
    <row r="33" spans="2:9">
      <c r="C33" s="1"/>
      <c r="F33" s="17"/>
      <c r="I33" s="16"/>
    </row>
    <row r="35" spans="2:9">
      <c r="D35" s="14"/>
    </row>
    <row r="36" spans="2:9">
      <c r="B36" t="s">
        <v>78</v>
      </c>
      <c r="C36" s="16">
        <f>SUMIF($C$2:$C$31,"=C",$G$2:$G$31)</f>
        <v>0</v>
      </c>
      <c r="D36" s="14">
        <f>C36/$C$40</f>
        <v>0</v>
      </c>
    </row>
    <row r="37" spans="2:9">
      <c r="B37" t="s">
        <v>79</v>
      </c>
      <c r="C37" s="16">
        <f>SUMIF($C$2:$C$31,"=G",$G$2:$G$31)</f>
        <v>3802.0300751879699</v>
      </c>
      <c r="D37" s="14">
        <f t="shared" ref="D37:D39" si="0">C37/$C$40</f>
        <v>1</v>
      </c>
    </row>
    <row r="38" spans="2:9">
      <c r="B38" t="s">
        <v>80</v>
      </c>
      <c r="C38" s="16">
        <f>SUMIF($C$2:$C$31,"=P",$G$2:$G$31)</f>
        <v>0</v>
      </c>
      <c r="D38" s="14">
        <f t="shared" si="0"/>
        <v>0</v>
      </c>
    </row>
    <row r="39" spans="2:9">
      <c r="B39" t="s">
        <v>81</v>
      </c>
      <c r="C39" s="16">
        <f>SUMIF($C$2:$C$31,"=a",$G$2:$G$31)</f>
        <v>0</v>
      </c>
      <c r="D39" s="14">
        <f t="shared" si="0"/>
        <v>0</v>
      </c>
    </row>
    <row r="40" spans="2:9">
      <c r="C40" s="16">
        <f>SUM(C36:C39)</f>
        <v>3802.0300751879699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31"/>
  <sheetViews>
    <sheetView topLeftCell="H2" zoomScale="160" zoomScaleNormal="160" workbookViewId="0">
      <selection activeCell="K5" sqref="K5"/>
    </sheetView>
  </sheetViews>
  <sheetFormatPr defaultRowHeight="14.4"/>
  <cols>
    <col min="3" max="3" width="20.33203125" customWidth="1"/>
    <col min="6" max="6" width="31.77734375" customWidth="1"/>
    <col min="7" max="7" width="35.77734375" customWidth="1"/>
    <col min="8" max="8" width="12" customWidth="1"/>
    <col min="9" max="9" width="13.109375" customWidth="1"/>
    <col min="10" max="10" width="15.21875" customWidth="1"/>
    <col min="11" max="11" width="12.33203125" customWidth="1"/>
    <col min="12" max="12" width="13.21875" customWidth="1"/>
    <col min="13" max="13" width="16.33203125" customWidth="1"/>
    <col min="14" max="14" width="10.6640625" customWidth="1"/>
    <col min="17" max="17" width="19.5546875" customWidth="1"/>
  </cols>
  <sheetData>
    <row r="6" spans="6:17">
      <c r="F6" s="5"/>
      <c r="G6" s="43" t="s">
        <v>111</v>
      </c>
      <c r="H6" s="43" t="s">
        <v>112</v>
      </c>
      <c r="I6" s="5" t="s">
        <v>113</v>
      </c>
      <c r="J6" s="43" t="s">
        <v>114</v>
      </c>
      <c r="K6" s="43" t="s">
        <v>115</v>
      </c>
      <c r="L6" s="4" t="s">
        <v>116</v>
      </c>
      <c r="M6" s="4" t="s">
        <v>118</v>
      </c>
      <c r="N6" s="7" t="s">
        <v>127</v>
      </c>
      <c r="O6" s="7" t="s">
        <v>125</v>
      </c>
      <c r="P6" s="7" t="s">
        <v>126</v>
      </c>
      <c r="Q6" s="7" t="s">
        <v>133</v>
      </c>
    </row>
    <row r="7" spans="6:17">
      <c r="F7" s="22" t="s">
        <v>37</v>
      </c>
      <c r="G7" s="22" t="s">
        <v>38</v>
      </c>
      <c r="H7" s="43">
        <v>1442.18</v>
      </c>
      <c r="I7" s="43">
        <v>1473.01</v>
      </c>
      <c r="J7" s="43">
        <v>1439.56</v>
      </c>
      <c r="K7" s="4">
        <v>1401.84</v>
      </c>
      <c r="L7" s="4">
        <v>1366.89</v>
      </c>
      <c r="M7" s="5"/>
      <c r="N7" s="43">
        <f>(45/100)^3</f>
        <v>9.1125000000000012E-2</v>
      </c>
      <c r="O7" s="43">
        <f>I7/N7</f>
        <v>16164.718792866939</v>
      </c>
      <c r="P7">
        <f>H7/N7</f>
        <v>15826.392318244169</v>
      </c>
      <c r="Q7" s="44">
        <f>L7/N7</f>
        <v>15000.164609053498</v>
      </c>
    </row>
    <row r="8" spans="6:17">
      <c r="F8" s="22" t="s">
        <v>40</v>
      </c>
      <c r="G8" s="22" t="s">
        <v>41</v>
      </c>
      <c r="H8" s="43">
        <v>650.79</v>
      </c>
      <c r="I8" s="43">
        <v>691.87</v>
      </c>
      <c r="J8" s="43">
        <v>676.16</v>
      </c>
      <c r="K8" s="4">
        <v>658.44</v>
      </c>
      <c r="L8" s="4">
        <v>642.03</v>
      </c>
      <c r="M8" s="5"/>
      <c r="N8" s="43">
        <f>(35/100)^3</f>
        <v>4.287499999999999E-2</v>
      </c>
      <c r="O8" s="43">
        <f t="shared" ref="O8:O10" si="0">I8/N8</f>
        <v>16136.909620991257</v>
      </c>
      <c r="Q8" s="44">
        <f>L8/N8</f>
        <v>14974.460641399421</v>
      </c>
    </row>
    <row r="9" spans="6:17">
      <c r="F9" s="22" t="s">
        <v>42</v>
      </c>
      <c r="G9" s="22" t="s">
        <v>82</v>
      </c>
      <c r="H9" s="43">
        <v>499.32</v>
      </c>
      <c r="I9" s="43">
        <v>515.97</v>
      </c>
      <c r="J9" s="43">
        <v>504.25</v>
      </c>
      <c r="K9" s="4">
        <v>491.04</v>
      </c>
      <c r="L9" s="4">
        <v>478.4</v>
      </c>
      <c r="M9" s="5"/>
      <c r="N9" s="43"/>
      <c r="O9" s="43" t="e">
        <f t="shared" si="0"/>
        <v>#DIV/0!</v>
      </c>
    </row>
    <row r="10" spans="6:17">
      <c r="F10" s="5"/>
      <c r="G10" s="22" t="s">
        <v>119</v>
      </c>
      <c r="H10" s="5"/>
      <c r="I10" s="5"/>
      <c r="J10" s="5"/>
      <c r="K10" s="5"/>
      <c r="L10" s="5"/>
      <c r="M10" s="43">
        <v>759.98</v>
      </c>
      <c r="N10" s="43">
        <f>((50/100)^2)*(38/100)</f>
        <v>9.5000000000000001E-2</v>
      </c>
      <c r="O10" s="43">
        <f t="shared" si="0"/>
        <v>0</v>
      </c>
      <c r="Q10" s="44">
        <f>M10/N10</f>
        <v>7999.7894736842109</v>
      </c>
    </row>
    <row r="12" spans="6:17">
      <c r="K12">
        <f>I7/N7</f>
        <v>16164.718792866939</v>
      </c>
    </row>
    <row r="14" spans="6:17" s="34" customFormat="1"/>
    <row r="15" spans="6:17" s="34" customFormat="1"/>
    <row r="16" spans="6:17" s="34" customFormat="1"/>
    <row r="17" spans="3:6" s="34" customFormat="1"/>
    <row r="18" spans="3:6" s="34" customFormat="1"/>
    <row r="19" spans="3:6" s="34" customFormat="1"/>
    <row r="20" spans="3:6" s="34" customFormat="1"/>
    <row r="21" spans="3:6" s="34" customFormat="1"/>
    <row r="22" spans="3:6" s="34" customFormat="1"/>
    <row r="23" spans="3:6" s="34" customFormat="1"/>
    <row r="24" spans="3:6" s="34" customFormat="1"/>
    <row r="25" spans="3:6" s="34" customFormat="1">
      <c r="C25" s="35"/>
    </row>
    <row r="26" spans="3:6" s="34" customFormat="1">
      <c r="C26" s="35"/>
      <c r="D26" s="35"/>
      <c r="E26" s="35"/>
      <c r="F26" s="35"/>
    </row>
    <row r="27" spans="3:6" s="34" customFormat="1"/>
    <row r="28" spans="3:6" s="34" customFormat="1"/>
    <row r="29" spans="3:6" s="34" customFormat="1"/>
    <row r="30" spans="3:6" s="34" customFormat="1"/>
    <row r="31" spans="3:6" s="34" customFormat="1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31"/>
  <sheetViews>
    <sheetView topLeftCell="H2" zoomScale="160" zoomScaleNormal="160" workbookViewId="0">
      <selection activeCell="Q7" sqref="Q7"/>
    </sheetView>
  </sheetViews>
  <sheetFormatPr defaultRowHeight="14.4"/>
  <cols>
    <col min="3" max="3" width="20.33203125" customWidth="1"/>
    <col min="6" max="6" width="31.77734375" customWidth="1"/>
    <col min="7" max="7" width="35.77734375" customWidth="1"/>
    <col min="8" max="8" width="12" customWidth="1"/>
    <col min="9" max="9" width="13.109375" customWidth="1"/>
    <col min="10" max="10" width="15.21875" customWidth="1"/>
    <col min="11" max="11" width="12.33203125" customWidth="1"/>
    <col min="12" max="12" width="13.21875" customWidth="1"/>
    <col min="13" max="13" width="16.33203125" customWidth="1"/>
    <col min="14" max="14" width="10.6640625" customWidth="1"/>
    <col min="17" max="17" width="19.5546875" customWidth="1"/>
  </cols>
  <sheetData>
    <row r="6" spans="6:17">
      <c r="F6" s="5"/>
      <c r="G6" s="2" t="s">
        <v>111</v>
      </c>
      <c r="H6" s="2" t="s">
        <v>112</v>
      </c>
      <c r="I6" s="5" t="s">
        <v>113</v>
      </c>
      <c r="J6" s="2" t="s">
        <v>114</v>
      </c>
      <c r="K6" s="2" t="s">
        <v>115</v>
      </c>
      <c r="L6" s="4" t="s">
        <v>116</v>
      </c>
      <c r="M6" s="4" t="s">
        <v>118</v>
      </c>
      <c r="N6" s="7" t="s">
        <v>127</v>
      </c>
      <c r="O6" s="7" t="s">
        <v>125</v>
      </c>
      <c r="P6" s="7" t="s">
        <v>126</v>
      </c>
      <c r="Q6" s="7" t="s">
        <v>133</v>
      </c>
    </row>
    <row r="7" spans="6:17">
      <c r="F7" s="22" t="s">
        <v>37</v>
      </c>
      <c r="G7" s="22" t="s">
        <v>38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</row>
    <row r="8" spans="6:17">
      <c r="F8" s="22" t="s">
        <v>40</v>
      </c>
      <c r="G8" s="22" t="s">
        <v>41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6:17">
      <c r="F9" s="22" t="s">
        <v>42</v>
      </c>
      <c r="G9" s="22" t="s">
        <v>82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6:17">
      <c r="F10" s="5"/>
      <c r="G10" s="22" t="s">
        <v>119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6:17">
      <c r="K12">
        <f>I7/N7</f>
        <v>16164.718792866939</v>
      </c>
    </row>
    <row r="14" spans="6:17" s="34" customFormat="1"/>
    <row r="15" spans="6:17" s="34" customFormat="1"/>
    <row r="16" spans="6:17" s="34" customFormat="1"/>
    <row r="17" spans="3:6" s="34" customFormat="1"/>
    <row r="18" spans="3:6" s="34" customFormat="1"/>
    <row r="19" spans="3:6" s="34" customFormat="1"/>
    <row r="20" spans="3:6" s="34" customFormat="1"/>
    <row r="21" spans="3:6" s="34" customFormat="1"/>
    <row r="22" spans="3:6" s="34" customFormat="1"/>
    <row r="23" spans="3:6" s="34" customFormat="1"/>
    <row r="24" spans="3:6" s="34" customFormat="1"/>
    <row r="25" spans="3:6" s="34" customFormat="1">
      <c r="C25" s="35"/>
    </row>
    <row r="26" spans="3:6" s="34" customFormat="1">
      <c r="C26" s="35"/>
      <c r="D26" s="35"/>
      <c r="E26" s="35"/>
      <c r="F26" s="35"/>
    </row>
    <row r="27" spans="3:6" s="34" customFormat="1"/>
    <row r="28" spans="3:6" s="34" customFormat="1"/>
    <row r="29" spans="3:6" s="34" customFormat="1"/>
    <row r="30" spans="3:6" s="34" customFormat="1"/>
    <row r="31" spans="3:6" s="34" customFormat="1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opLeftCell="F1" zoomScale="220" zoomScaleNormal="220" workbookViewId="0">
      <selection activeCell="I7" sqref="I7"/>
    </sheetView>
  </sheetViews>
  <sheetFormatPr defaultRowHeight="14.4"/>
  <cols>
    <col min="2" max="2" width="16.6640625" customWidth="1"/>
    <col min="3" max="3" width="21.5546875" customWidth="1"/>
    <col min="4" max="4" width="14.88671875" customWidth="1"/>
    <col min="5" max="5" width="10.5546875" customWidth="1"/>
    <col min="6" max="6" width="13" customWidth="1"/>
    <col min="7" max="7" width="14.5546875" customWidth="1"/>
    <col min="8" max="8" width="13.109375" customWidth="1"/>
    <col min="9" max="9" width="20.21875" customWidth="1"/>
    <col min="10" max="10" width="17" customWidth="1"/>
    <col min="11" max="11" width="14.77734375" customWidth="1"/>
  </cols>
  <sheetData>
    <row r="3" spans="2:11">
      <c r="B3" s="5"/>
      <c r="C3" s="45" t="s">
        <v>121</v>
      </c>
      <c r="D3" s="45"/>
      <c r="E3" s="45"/>
      <c r="F3" s="45" t="s">
        <v>128</v>
      </c>
      <c r="G3" s="45"/>
      <c r="H3" s="45"/>
      <c r="I3" s="46" t="s">
        <v>137</v>
      </c>
      <c r="J3" s="47"/>
      <c r="K3" s="47"/>
    </row>
    <row r="4" spans="2:11">
      <c r="C4" s="5" t="s">
        <v>122</v>
      </c>
      <c r="D4" s="2" t="s">
        <v>123</v>
      </c>
      <c r="E4" s="5" t="s">
        <v>124</v>
      </c>
      <c r="F4" s="5" t="s">
        <v>122</v>
      </c>
      <c r="G4" s="2" t="s">
        <v>123</v>
      </c>
      <c r="H4" s="5" t="s">
        <v>124</v>
      </c>
      <c r="I4" s="5" t="s">
        <v>122</v>
      </c>
      <c r="J4" s="2" t="s">
        <v>123</v>
      </c>
      <c r="K4" s="5" t="s">
        <v>124</v>
      </c>
    </row>
    <row r="5" spans="2:11">
      <c r="B5" s="5" t="s">
        <v>138</v>
      </c>
      <c r="C5" s="2">
        <v>15818.39</v>
      </c>
      <c r="D5" s="2">
        <v>2466.6999999999998</v>
      </c>
      <c r="E5" s="2">
        <f>C5+D5</f>
        <v>18285.09</v>
      </c>
      <c r="F5" s="2">
        <v>16164</v>
      </c>
      <c r="G5" s="4">
        <v>2796</v>
      </c>
      <c r="H5" s="2">
        <f>SUM(F5:G5)</f>
        <v>18960</v>
      </c>
      <c r="I5" s="7">
        <v>8000</v>
      </c>
      <c r="J5" s="7">
        <v>2796</v>
      </c>
      <c r="K5" s="1">
        <f>I5+J5</f>
        <v>10796</v>
      </c>
    </row>
    <row r="6" spans="2:11">
      <c r="B6" s="5" t="s">
        <v>129</v>
      </c>
      <c r="C6" s="2">
        <v>2250.38</v>
      </c>
      <c r="D6" s="2">
        <v>1551.65</v>
      </c>
      <c r="E6" s="2">
        <f>SUM(C6:D6)</f>
        <v>3802.03</v>
      </c>
      <c r="F6" s="2">
        <v>2676.31</v>
      </c>
      <c r="G6" s="2">
        <v>1587.6</v>
      </c>
      <c r="H6" s="2">
        <f>SUM(F6:G6)</f>
        <v>4263.91</v>
      </c>
    </row>
    <row r="7" spans="2:11">
      <c r="B7" s="34" t="s">
        <v>139</v>
      </c>
      <c r="C7" s="25"/>
      <c r="D7" s="25"/>
      <c r="E7" s="25"/>
      <c r="F7" s="25">
        <v>15000</v>
      </c>
      <c r="G7" s="25">
        <v>2796</v>
      </c>
      <c r="H7" s="39">
        <f>SUM(F7:G7)</f>
        <v>17796</v>
      </c>
    </row>
    <row r="8" spans="2:11">
      <c r="E8" s="1">
        <f>E5-E6</f>
        <v>14483.06</v>
      </c>
      <c r="F8" s="1"/>
      <c r="G8" s="1"/>
      <c r="H8" s="1">
        <f>H5-H6</f>
        <v>14696.09</v>
      </c>
    </row>
    <row r="10" spans="2:11">
      <c r="G10">
        <f>15000+G5</f>
        <v>17796</v>
      </c>
      <c r="K10" s="1">
        <f>K5*0.5+H5*0.5</f>
        <v>14878</v>
      </c>
    </row>
    <row r="11" spans="2:11">
      <c r="I11" t="s">
        <v>140</v>
      </c>
    </row>
  </sheetData>
  <mergeCells count="3">
    <mergeCell ref="C3:E3"/>
    <mergeCell ref="F3:H3"/>
    <mergeCell ref="I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0" zoomScaleNormal="130" workbookViewId="0">
      <selection activeCell="F13" sqref="F13"/>
    </sheetView>
  </sheetViews>
  <sheetFormatPr defaultRowHeight="14.4"/>
  <cols>
    <col min="1" max="1" width="18.21875" customWidth="1"/>
    <col min="2" max="2" width="13.5546875" customWidth="1"/>
    <col min="3" max="3" width="13.44140625" customWidth="1"/>
    <col min="4" max="4" width="16.5546875" customWidth="1"/>
  </cols>
  <sheetData>
    <row r="1" spans="1:4">
      <c r="B1" s="42" t="s">
        <v>142</v>
      </c>
      <c r="C1" s="42" t="s">
        <v>143</v>
      </c>
      <c r="D1" s="42" t="s">
        <v>74</v>
      </c>
    </row>
    <row r="2" spans="1:4">
      <c r="A2" t="s">
        <v>141</v>
      </c>
      <c r="B2" s="42">
        <v>254862</v>
      </c>
      <c r="C2">
        <v>4263.91</v>
      </c>
      <c r="D2" s="17">
        <f>C2*B2</f>
        <v>1086708630.4200001</v>
      </c>
    </row>
    <row r="3" spans="1:4">
      <c r="A3" t="s">
        <v>144</v>
      </c>
      <c r="B3" s="42">
        <v>210549</v>
      </c>
      <c r="C3">
        <v>18960</v>
      </c>
      <c r="D3" s="17">
        <f>C3*B3</f>
        <v>3992009040</v>
      </c>
    </row>
    <row r="4" spans="1:4">
      <c r="D4" s="17">
        <f>SUM(D2:D3)</f>
        <v>5078717670.4200001</v>
      </c>
    </row>
    <row r="6" spans="1:4">
      <c r="A6" t="s">
        <v>145</v>
      </c>
    </row>
    <row r="7" spans="1:4">
      <c r="B7" s="42" t="s">
        <v>142</v>
      </c>
      <c r="C7" s="42" t="s">
        <v>143</v>
      </c>
      <c r="D7" s="42" t="s">
        <v>74</v>
      </c>
    </row>
    <row r="8" spans="1:4">
      <c r="A8" t="s">
        <v>141</v>
      </c>
      <c r="B8" s="42">
        <v>254862</v>
      </c>
      <c r="C8">
        <v>4263.91</v>
      </c>
      <c r="D8" s="17">
        <f>C8*B8</f>
        <v>1086708630.4200001</v>
      </c>
    </row>
    <row r="9" spans="1:4">
      <c r="A9" t="s">
        <v>144</v>
      </c>
      <c r="B9" s="42">
        <v>210549</v>
      </c>
      <c r="C9">
        <v>17796</v>
      </c>
      <c r="D9" s="17">
        <f>C9*B9</f>
        <v>3746930004</v>
      </c>
    </row>
    <row r="10" spans="1:4">
      <c r="D10" s="17">
        <f>SUM(D8:D9)</f>
        <v>4833638634.4200001</v>
      </c>
    </row>
    <row r="13" spans="1:4">
      <c r="A13" t="s">
        <v>145</v>
      </c>
    </row>
    <row r="14" spans="1:4">
      <c r="A14" s="41"/>
      <c r="B14" s="41" t="s">
        <v>142</v>
      </c>
      <c r="C14" s="41" t="s">
        <v>143</v>
      </c>
      <c r="D14" s="41" t="s">
        <v>74</v>
      </c>
    </row>
    <row r="15" spans="1:4">
      <c r="A15" s="41" t="s">
        <v>141</v>
      </c>
      <c r="B15" s="41">
        <v>254862</v>
      </c>
      <c r="C15" s="41">
        <v>4263.91</v>
      </c>
      <c r="D15" s="18">
        <f>B15*C15</f>
        <v>1086708630.4200001</v>
      </c>
    </row>
    <row r="16" spans="1:4">
      <c r="A16" s="41" t="s">
        <v>144</v>
      </c>
      <c r="B16" s="41">
        <v>105275</v>
      </c>
      <c r="C16" s="41">
        <v>17796</v>
      </c>
      <c r="D16" s="18">
        <f t="shared" ref="D16:D17" si="0">B16*C16</f>
        <v>1873473900</v>
      </c>
    </row>
    <row r="17" spans="1:4">
      <c r="A17" s="41" t="s">
        <v>146</v>
      </c>
      <c r="B17" s="41">
        <v>105275</v>
      </c>
      <c r="C17" s="41">
        <v>10796</v>
      </c>
      <c r="D17" s="18">
        <f t="shared" si="0"/>
        <v>1136548900</v>
      </c>
    </row>
    <row r="18" spans="1:4">
      <c r="D18" s="17">
        <f>SUM(D15:D17)</f>
        <v>4096731430.4200001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opLeftCell="G1" zoomScale="175" zoomScaleNormal="175" workbookViewId="0">
      <selection activeCell="J11" sqref="J11"/>
    </sheetView>
  </sheetViews>
  <sheetFormatPr defaultRowHeight="14.4"/>
  <cols>
    <col min="2" max="2" width="12.33203125" customWidth="1"/>
    <col min="3" max="6" width="15.77734375" customWidth="1"/>
    <col min="7" max="7" width="15.33203125" customWidth="1"/>
    <col min="8" max="8" width="12.77734375" customWidth="1"/>
    <col min="9" max="9" width="25.88671875" customWidth="1"/>
    <col min="10" max="10" width="15.109375" customWidth="1"/>
    <col min="11" max="11" width="14.6640625" customWidth="1"/>
    <col min="12" max="12" width="15" bestFit="1" customWidth="1"/>
  </cols>
  <sheetData>
    <row r="2" spans="2:15">
      <c r="C2" s="1" t="s">
        <v>130</v>
      </c>
      <c r="D2" s="1" t="s">
        <v>106</v>
      </c>
      <c r="E2" s="1" t="s">
        <v>132</v>
      </c>
      <c r="F2" s="1" t="s">
        <v>135</v>
      </c>
      <c r="G2" s="1" t="s">
        <v>131</v>
      </c>
      <c r="H2" s="1" t="s">
        <v>107</v>
      </c>
      <c r="I2" s="1" t="s">
        <v>134</v>
      </c>
      <c r="J2" s="1" t="s">
        <v>136</v>
      </c>
      <c r="K2" s="48"/>
      <c r="L2" s="48"/>
      <c r="M2" s="48"/>
      <c r="N2" s="48"/>
      <c r="O2" s="48"/>
    </row>
    <row r="3" spans="2:15">
      <c r="B3" s="2" t="s">
        <v>129</v>
      </c>
      <c r="C3" s="2">
        <v>242441</v>
      </c>
      <c r="D3" s="2">
        <v>3802.03</v>
      </c>
      <c r="E3" s="2">
        <f>C3*D3</f>
        <v>921767955.23000002</v>
      </c>
      <c r="F3" s="2">
        <f>C3/C5</f>
        <v>0.55841266258369593</v>
      </c>
      <c r="G3" s="18">
        <v>270553</v>
      </c>
      <c r="H3" s="2">
        <v>4263</v>
      </c>
      <c r="I3" s="2">
        <f>G3*H3</f>
        <v>1153367439</v>
      </c>
      <c r="J3" s="2">
        <f>G3/G5</f>
        <v>0.53745880455230799</v>
      </c>
      <c r="K3" s="18">
        <v>276867</v>
      </c>
      <c r="L3" s="2">
        <v>4263</v>
      </c>
    </row>
    <row r="4" spans="2:15">
      <c r="B4" s="2" t="s">
        <v>120</v>
      </c>
      <c r="C4" s="2">
        <v>191720</v>
      </c>
      <c r="D4" s="2">
        <v>18285.09</v>
      </c>
      <c r="E4" s="2">
        <f>C4*D4</f>
        <v>3505617454.8000002</v>
      </c>
      <c r="F4" s="2">
        <f>C4/C5</f>
        <v>0.44158733741630407</v>
      </c>
      <c r="G4" s="18">
        <v>232840</v>
      </c>
      <c r="H4" s="2">
        <v>17796</v>
      </c>
      <c r="I4" s="2">
        <f>G4*H4</f>
        <v>4143620640</v>
      </c>
      <c r="J4" s="2">
        <f>G4/G5</f>
        <v>0.46254119544769196</v>
      </c>
      <c r="K4" s="18">
        <v>226526</v>
      </c>
      <c r="L4" s="2">
        <v>14878</v>
      </c>
    </row>
    <row r="5" spans="2:15">
      <c r="B5" s="2"/>
      <c r="C5" s="18">
        <f t="shared" ref="C5" si="0">C3+C4</f>
        <v>434161</v>
      </c>
      <c r="D5" s="18"/>
      <c r="E5" s="18">
        <f>E3+E4</f>
        <v>4427385410.0300007</v>
      </c>
      <c r="F5" s="18"/>
      <c r="G5" s="18">
        <f>SUM(G3:G4)</f>
        <v>503393</v>
      </c>
      <c r="H5" s="2"/>
      <c r="I5" s="18">
        <f>SUM(I3:I4)</f>
        <v>5296988079</v>
      </c>
      <c r="J5" s="2"/>
      <c r="K5" s="18"/>
      <c r="L5" s="18">
        <f>SUMPRODUCT(K3:K4,L3:L4)</f>
        <v>4550537849</v>
      </c>
    </row>
    <row r="6" spans="2:15">
      <c r="G6" s="1"/>
      <c r="I6" s="16">
        <f>I5-E5</f>
        <v>869602668.96999931</v>
      </c>
      <c r="L6" s="18">
        <f>L5-E5</f>
        <v>123152438.96999931</v>
      </c>
    </row>
    <row r="8" spans="2:15">
      <c r="B8" s="34"/>
      <c r="C8" s="34"/>
      <c r="D8" s="34"/>
      <c r="E8" s="34"/>
      <c r="F8" s="34"/>
      <c r="I8" s="1"/>
    </row>
    <row r="9" spans="2:15">
      <c r="B9" s="34"/>
      <c r="C9" s="40"/>
      <c r="D9" s="40"/>
      <c r="E9" s="34"/>
      <c r="F9" s="34"/>
    </row>
  </sheetData>
  <mergeCells count="1">
    <mergeCell ref="K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Лист1</vt:lpstr>
      <vt:lpstr>Dumping_volume_dpp_drawing</vt:lpstr>
      <vt:lpstr>dumping_volume_provided</vt:lpstr>
      <vt:lpstr>Rehab_Estimate</vt:lpstr>
      <vt:lpstr>New_Estimate</vt:lpstr>
      <vt:lpstr>Block_cost_comparision (2)</vt:lpstr>
      <vt:lpstr>Block_cost_comparision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2022-11-09T19:46:28Z</dcterms:modified>
</cp:coreProperties>
</file>